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大西國中\菜單\11月菜單\"/>
    </mc:Choice>
  </mc:AlternateContent>
  <bookViews>
    <workbookView xWindow="15705" yWindow="90" windowWidth="12840" windowHeight="11715" tabRatio="689" activeTab="1"/>
  </bookViews>
  <sheets>
    <sheet name="月菜單(葷) " sheetId="33" r:id="rId1"/>
    <sheet name="1101" sheetId="25" r:id="rId2"/>
    <sheet name="1106" sheetId="34" r:id="rId3"/>
    <sheet name="1113" sheetId="35" r:id="rId4"/>
    <sheet name="1120" sheetId="36" r:id="rId5"/>
    <sheet name="1127" sheetId="37" r:id="rId6"/>
  </sheets>
  <definedNames>
    <definedName name="_xlnm.Print_Area" localSheetId="1">'1101'!$A$1:$S$53</definedName>
    <definedName name="_xlnm.Print_Area" localSheetId="0">'月菜單(葷) '!$A$1:$F$41</definedName>
  </definedNames>
  <calcPr calcId="152511"/>
</workbook>
</file>

<file path=xl/calcChain.xml><?xml version="1.0" encoding="utf-8"?>
<calcChain xmlns="http://schemas.openxmlformats.org/spreadsheetml/2006/main">
  <c r="M5" i="34" l="1"/>
  <c r="N5" i="34"/>
  <c r="N6" i="34"/>
  <c r="N7" i="34"/>
  <c r="N8" i="34"/>
  <c r="N9" i="34"/>
  <c r="N10" i="34"/>
  <c r="N11" i="34"/>
  <c r="N12" i="34"/>
  <c r="N13" i="34"/>
  <c r="M14" i="34"/>
  <c r="N14" i="34"/>
  <c r="N15" i="34"/>
  <c r="N16" i="34"/>
  <c r="N17" i="34"/>
  <c r="N18" i="34"/>
  <c r="N19" i="34"/>
  <c r="N20" i="34"/>
  <c r="M21" i="34"/>
  <c r="N21" i="34"/>
  <c r="N22" i="34"/>
  <c r="M23" i="34"/>
  <c r="N23" i="34"/>
  <c r="N24" i="34"/>
  <c r="N25" i="34"/>
  <c r="N26" i="34"/>
  <c r="N27" i="34"/>
  <c r="N28" i="34"/>
  <c r="N29" i="34"/>
  <c r="N30" i="34"/>
  <c r="N31" i="34"/>
  <c r="M32" i="34"/>
  <c r="N32" i="34"/>
  <c r="M33" i="34"/>
  <c r="N33" i="34"/>
  <c r="M34" i="34"/>
  <c r="N34" i="34"/>
  <c r="N35" i="34"/>
  <c r="N36" i="34"/>
  <c r="N37" i="34"/>
  <c r="M38" i="34"/>
  <c r="N38" i="34"/>
  <c r="M39" i="34"/>
  <c r="N39" i="34"/>
  <c r="M40" i="34"/>
  <c r="N40" i="34"/>
  <c r="M41" i="34"/>
  <c r="N41" i="34"/>
  <c r="M42" i="34"/>
  <c r="N42" i="34"/>
  <c r="M43" i="34"/>
  <c r="N43" i="34"/>
  <c r="M44" i="34"/>
  <c r="N44" i="34"/>
  <c r="M48" i="34"/>
  <c r="M49" i="34" l="1"/>
  <c r="M46" i="34"/>
  <c r="M44" i="36"/>
  <c r="M43" i="36"/>
  <c r="M42" i="36"/>
  <c r="M41" i="36"/>
  <c r="M40" i="36"/>
  <c r="M39" i="36"/>
  <c r="M38" i="36"/>
  <c r="E40" i="35"/>
  <c r="Q39" i="37" l="1"/>
  <c r="Q40" i="37"/>
  <c r="Q38" i="37"/>
  <c r="R39" i="37"/>
  <c r="R38" i="37"/>
  <c r="Q25" i="37"/>
  <c r="Q24" i="37"/>
  <c r="Q23" i="37"/>
  <c r="Q14" i="37"/>
  <c r="O38" i="25"/>
  <c r="O43" i="25"/>
  <c r="O42" i="25"/>
  <c r="O41" i="25"/>
  <c r="O40" i="25"/>
  <c r="O39" i="25"/>
  <c r="I41" i="37"/>
  <c r="I40" i="37"/>
  <c r="I39" i="37"/>
  <c r="I38" i="37"/>
  <c r="M41" i="37"/>
  <c r="M39" i="37"/>
  <c r="M38" i="37"/>
  <c r="M14" i="37"/>
  <c r="M23" i="37"/>
  <c r="I15" i="37"/>
  <c r="I27" i="37"/>
  <c r="I26" i="37"/>
  <c r="I25" i="37"/>
  <c r="I24" i="37"/>
  <c r="I23" i="37"/>
  <c r="I17" i="37"/>
  <c r="I14" i="37"/>
  <c r="I16" i="37"/>
  <c r="P51" i="37"/>
  <c r="L51" i="37"/>
  <c r="H51" i="37"/>
  <c r="D51" i="37"/>
  <c r="Q6" i="37"/>
  <c r="Q5" i="37"/>
  <c r="I6" i="37"/>
  <c r="I5" i="37"/>
  <c r="E5" i="37"/>
  <c r="E39" i="37"/>
  <c r="E41" i="37"/>
  <c r="E40" i="37"/>
  <c r="E38" i="37"/>
  <c r="F37" i="37"/>
  <c r="I44" i="37"/>
  <c r="Q48" i="37" l="1"/>
  <c r="Q46" i="37"/>
  <c r="I48" i="37"/>
  <c r="I46" i="37"/>
  <c r="V44" i="37"/>
  <c r="V43" i="37"/>
  <c r="V42" i="37"/>
  <c r="V41" i="37"/>
  <c r="V40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7" i="37"/>
  <c r="V16" i="37"/>
  <c r="V15" i="37"/>
  <c r="V14" i="37"/>
  <c r="V13" i="37"/>
  <c r="V12" i="37"/>
  <c r="V11" i="37"/>
  <c r="V10" i="37"/>
  <c r="V9" i="37"/>
  <c r="V8" i="37"/>
  <c r="V7" i="37"/>
  <c r="V6" i="37"/>
  <c r="V5" i="37"/>
  <c r="R44" i="37"/>
  <c r="R43" i="37"/>
  <c r="R42" i="37"/>
  <c r="R41" i="37"/>
  <c r="R40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R10" i="37"/>
  <c r="R9" i="37"/>
  <c r="R8" i="37"/>
  <c r="R7" i="37"/>
  <c r="R6" i="37"/>
  <c r="R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/>
  <c r="J5" i="37"/>
  <c r="F44" i="37"/>
  <c r="F43" i="37"/>
  <c r="F42" i="37"/>
  <c r="F41" i="37"/>
  <c r="F40" i="37"/>
  <c r="F39" i="37"/>
  <c r="F38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M12" i="37"/>
  <c r="M11" i="37"/>
  <c r="M10" i="37"/>
  <c r="M9" i="37"/>
  <c r="M8" i="37"/>
  <c r="M7" i="37"/>
  <c r="M6" i="37"/>
  <c r="M5" i="37"/>
  <c r="M46" i="37" s="1"/>
  <c r="M48" i="37" l="1"/>
  <c r="E18" i="37"/>
  <c r="E17" i="37"/>
  <c r="E16" i="37"/>
  <c r="E15" i="37"/>
  <c r="E46" i="37" s="1"/>
  <c r="E14" i="37"/>
  <c r="E27" i="37"/>
  <c r="E26" i="37"/>
  <c r="E25" i="37"/>
  <c r="E24" i="37"/>
  <c r="E23" i="37"/>
  <c r="U25" i="36"/>
  <c r="U24" i="36"/>
  <c r="U23" i="36"/>
  <c r="U30" i="36"/>
  <c r="U39" i="36"/>
  <c r="U38" i="36"/>
  <c r="U16" i="36"/>
  <c r="U15" i="36"/>
  <c r="U14" i="36"/>
  <c r="V38" i="36"/>
  <c r="Q17" i="36"/>
  <c r="Q18" i="36"/>
  <c r="Q16" i="36"/>
  <c r="Q15" i="36"/>
  <c r="Q25" i="36"/>
  <c r="Q24" i="36"/>
  <c r="R23" i="36"/>
  <c r="Q23" i="36"/>
  <c r="R40" i="36"/>
  <c r="Q40" i="36"/>
  <c r="R39" i="36"/>
  <c r="Q39" i="36"/>
  <c r="R38" i="36"/>
  <c r="Q38" i="36"/>
  <c r="R37" i="36"/>
  <c r="J41" i="36"/>
  <c r="I41" i="36"/>
  <c r="J40" i="36"/>
  <c r="I40" i="36"/>
  <c r="J39" i="36"/>
  <c r="I39" i="36"/>
  <c r="J38" i="36"/>
  <c r="I38" i="36"/>
  <c r="J37" i="36"/>
  <c r="R14" i="36"/>
  <c r="Q14" i="36"/>
  <c r="I44" i="36"/>
  <c r="M10" i="36"/>
  <c r="M6" i="36"/>
  <c r="M9" i="36"/>
  <c r="M8" i="36"/>
  <c r="M7" i="36"/>
  <c r="M5" i="36"/>
  <c r="M25" i="36"/>
  <c r="M23" i="36"/>
  <c r="N39" i="36"/>
  <c r="N42" i="36"/>
  <c r="N43" i="36"/>
  <c r="N44" i="36"/>
  <c r="N37" i="36"/>
  <c r="N38" i="36"/>
  <c r="N40" i="36"/>
  <c r="N41" i="36"/>
  <c r="N36" i="36"/>
  <c r="M24" i="36"/>
  <c r="E23" i="36"/>
  <c r="T51" i="36"/>
  <c r="P51" i="36"/>
  <c r="L51" i="36"/>
  <c r="H51" i="36"/>
  <c r="D51" i="36"/>
  <c r="F41" i="36"/>
  <c r="E41" i="36"/>
  <c r="E42" i="36"/>
  <c r="E40" i="36"/>
  <c r="E39" i="36"/>
  <c r="E38" i="36"/>
  <c r="E25" i="36"/>
  <c r="E24" i="36"/>
  <c r="E17" i="36"/>
  <c r="E16" i="36"/>
  <c r="E15" i="36"/>
  <c r="I25" i="36"/>
  <c r="I24" i="36"/>
  <c r="I23" i="36"/>
  <c r="J23" i="36"/>
  <c r="I18" i="36"/>
  <c r="I17" i="36"/>
  <c r="I16" i="36"/>
  <c r="I15" i="36"/>
  <c r="I14" i="36"/>
  <c r="V6" i="36"/>
  <c r="U6" i="36"/>
  <c r="U5" i="36"/>
  <c r="Q6" i="36"/>
  <c r="Q5" i="36"/>
  <c r="I6" i="36"/>
  <c r="I5" i="36"/>
  <c r="F6" i="36"/>
  <c r="F5" i="36"/>
  <c r="E5" i="36"/>
  <c r="E46" i="36" s="1"/>
  <c r="E14" i="36"/>
  <c r="M14" i="36"/>
  <c r="V44" i="36"/>
  <c r="V43" i="36"/>
  <c r="V42" i="36"/>
  <c r="V41" i="36"/>
  <c r="V40" i="36"/>
  <c r="V39" i="36"/>
  <c r="V37" i="36"/>
  <c r="V36" i="36"/>
  <c r="V35" i="36"/>
  <c r="V34" i="36"/>
  <c r="V33" i="36"/>
  <c r="V32" i="36"/>
  <c r="V31" i="36"/>
  <c r="V30" i="36"/>
  <c r="V29" i="36"/>
  <c r="V28" i="36"/>
  <c r="V27" i="36"/>
  <c r="V26" i="36"/>
  <c r="V25" i="36"/>
  <c r="V24" i="36"/>
  <c r="V23" i="36"/>
  <c r="V22" i="36"/>
  <c r="V21" i="36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V7" i="36"/>
  <c r="V5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2" i="36"/>
  <c r="R21" i="36"/>
  <c r="R20" i="36"/>
  <c r="R19" i="36"/>
  <c r="R18" i="36"/>
  <c r="R17" i="36"/>
  <c r="R16" i="36"/>
  <c r="R15" i="36"/>
  <c r="R13" i="36"/>
  <c r="R12" i="36"/>
  <c r="R11" i="36"/>
  <c r="R10" i="36"/>
  <c r="R9" i="36"/>
  <c r="R8" i="36"/>
  <c r="R7" i="36"/>
  <c r="R6" i="36"/>
  <c r="R5" i="36"/>
  <c r="R44" i="36"/>
  <c r="R43" i="36"/>
  <c r="R42" i="36"/>
  <c r="R41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N6" i="36"/>
  <c r="N5" i="36"/>
  <c r="J44" i="36"/>
  <c r="J43" i="36"/>
  <c r="J42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F44" i="36"/>
  <c r="F43" i="36"/>
  <c r="F42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U26" i="35"/>
  <c r="U30" i="35"/>
  <c r="U25" i="35"/>
  <c r="U24" i="35"/>
  <c r="U23" i="35"/>
  <c r="U15" i="35"/>
  <c r="U17" i="35"/>
  <c r="U16" i="35"/>
  <c r="U18" i="35"/>
  <c r="U14" i="35"/>
  <c r="M38" i="35"/>
  <c r="M41" i="35"/>
  <c r="M42" i="35"/>
  <c r="M40" i="35"/>
  <c r="M39" i="35"/>
  <c r="M24" i="35"/>
  <c r="M26" i="35"/>
  <c r="M25" i="35"/>
  <c r="M23" i="35"/>
  <c r="M16" i="35"/>
  <c r="M14" i="35"/>
  <c r="M15" i="35"/>
  <c r="N24" i="35"/>
  <c r="Q39" i="35"/>
  <c r="Q40" i="35"/>
  <c r="Q38" i="35"/>
  <c r="Q28" i="35"/>
  <c r="Q27" i="35"/>
  <c r="Q26" i="35"/>
  <c r="Q25" i="35"/>
  <c r="R26" i="35"/>
  <c r="Q24" i="35"/>
  <c r="Q23" i="35"/>
  <c r="Q15" i="35"/>
  <c r="Q16" i="35"/>
  <c r="Q14" i="35"/>
  <c r="R15" i="35"/>
  <c r="I19" i="35"/>
  <c r="I18" i="35"/>
  <c r="I17" i="35"/>
  <c r="I39" i="35"/>
  <c r="I40" i="35"/>
  <c r="I38" i="35"/>
  <c r="J38" i="35"/>
  <c r="I23" i="35"/>
  <c r="I26" i="35"/>
  <c r="I25" i="35"/>
  <c r="I24" i="35"/>
  <c r="I14" i="35"/>
  <c r="T51" i="35"/>
  <c r="P51" i="35"/>
  <c r="L51" i="35"/>
  <c r="H51" i="35"/>
  <c r="D51" i="35"/>
  <c r="E26" i="35"/>
  <c r="E24" i="35"/>
  <c r="E23" i="35"/>
  <c r="E28" i="35"/>
  <c r="E27" i="35"/>
  <c r="E25" i="35"/>
  <c r="E30" i="35"/>
  <c r="E41" i="35"/>
  <c r="E39" i="35"/>
  <c r="E38" i="35"/>
  <c r="E15" i="35"/>
  <c r="E16" i="35"/>
  <c r="E14" i="35"/>
  <c r="F15" i="35"/>
  <c r="U40" i="35"/>
  <c r="U41" i="35"/>
  <c r="V40" i="35"/>
  <c r="V38" i="35"/>
  <c r="U6" i="35"/>
  <c r="U5" i="35"/>
  <c r="Q6" i="35"/>
  <c r="Q5" i="35"/>
  <c r="I6" i="35"/>
  <c r="I5" i="35"/>
  <c r="E5" i="35"/>
  <c r="N5" i="35"/>
  <c r="M5" i="35"/>
  <c r="M46" i="35" s="1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4" i="35"/>
  <c r="F13" i="35"/>
  <c r="F12" i="35"/>
  <c r="F11" i="35"/>
  <c r="F10" i="35"/>
  <c r="F9" i="35"/>
  <c r="F8" i="35"/>
  <c r="F7" i="35"/>
  <c r="F6" i="35"/>
  <c r="F5" i="35"/>
  <c r="J44" i="35"/>
  <c r="J43" i="35"/>
  <c r="J42" i="35"/>
  <c r="J41" i="35"/>
  <c r="J40" i="35"/>
  <c r="J39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6" i="35"/>
  <c r="J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R44" i="35"/>
  <c r="R43" i="35"/>
  <c r="R42" i="35"/>
  <c r="R41" i="35"/>
  <c r="R40" i="35"/>
  <c r="R39" i="35"/>
  <c r="R38" i="35"/>
  <c r="R37" i="35"/>
  <c r="R36" i="35"/>
  <c r="R35" i="35"/>
  <c r="R34" i="35"/>
  <c r="R33" i="35"/>
  <c r="R32" i="35"/>
  <c r="R31" i="35"/>
  <c r="R30" i="35"/>
  <c r="R29" i="35"/>
  <c r="R28" i="35"/>
  <c r="R27" i="35"/>
  <c r="R25" i="35"/>
  <c r="R24" i="35"/>
  <c r="R23" i="35"/>
  <c r="R22" i="35"/>
  <c r="R21" i="35"/>
  <c r="R20" i="35"/>
  <c r="R19" i="35"/>
  <c r="R18" i="35"/>
  <c r="R17" i="35"/>
  <c r="R16" i="35"/>
  <c r="R14" i="35"/>
  <c r="R13" i="35"/>
  <c r="R12" i="35"/>
  <c r="R11" i="35"/>
  <c r="R10" i="35"/>
  <c r="R9" i="35"/>
  <c r="R8" i="35"/>
  <c r="R7" i="35"/>
  <c r="R6" i="35"/>
  <c r="R5" i="35"/>
  <c r="V44" i="35"/>
  <c r="V43" i="35"/>
  <c r="V42" i="35"/>
  <c r="V41" i="35"/>
  <c r="V39" i="35"/>
  <c r="V37" i="35"/>
  <c r="V36" i="35"/>
  <c r="V35" i="35"/>
  <c r="V34" i="35"/>
  <c r="V33" i="35"/>
  <c r="V32" i="35"/>
  <c r="V31" i="35"/>
  <c r="V30" i="35"/>
  <c r="V29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V15" i="35"/>
  <c r="V14" i="35"/>
  <c r="V13" i="35"/>
  <c r="V12" i="35"/>
  <c r="V11" i="35"/>
  <c r="V10" i="35"/>
  <c r="V9" i="35"/>
  <c r="V8" i="35"/>
  <c r="V7" i="35"/>
  <c r="V6" i="35"/>
  <c r="V5" i="35"/>
  <c r="U25" i="34"/>
  <c r="U24" i="34"/>
  <c r="U26" i="34"/>
  <c r="U23" i="34"/>
  <c r="U30" i="34"/>
  <c r="U18" i="34"/>
  <c r="U14" i="34"/>
  <c r="U17" i="34"/>
  <c r="U16" i="34"/>
  <c r="U15" i="34"/>
  <c r="Q39" i="34"/>
  <c r="Q40" i="34"/>
  <c r="Q38" i="34"/>
  <c r="Q24" i="34"/>
  <c r="Q16" i="34"/>
  <c r="Q15" i="34"/>
  <c r="Q26" i="34"/>
  <c r="Q25" i="34"/>
  <c r="Q23" i="34"/>
  <c r="U46" i="35" l="1"/>
  <c r="U48" i="36"/>
  <c r="I46" i="35"/>
  <c r="E48" i="35"/>
  <c r="D48" i="35" s="1"/>
  <c r="M48" i="36"/>
  <c r="I48" i="36"/>
  <c r="Q46" i="36"/>
  <c r="Q48" i="36"/>
  <c r="P48" i="36" s="1"/>
  <c r="I46" i="36"/>
  <c r="U48" i="35"/>
  <c r="Q48" i="35"/>
  <c r="Q46" i="35"/>
  <c r="M48" i="35"/>
  <c r="I48" i="35"/>
  <c r="H48" i="35" s="1"/>
  <c r="U48" i="34"/>
  <c r="E48" i="36"/>
  <c r="D48" i="36" s="1"/>
  <c r="M46" i="36"/>
  <c r="E48" i="37"/>
  <c r="D48" i="37" s="1"/>
  <c r="E46" i="35"/>
  <c r="Q17" i="34"/>
  <c r="Q14" i="34"/>
  <c r="I26" i="34"/>
  <c r="I27" i="34"/>
  <c r="I40" i="34"/>
  <c r="I39" i="34"/>
  <c r="I38" i="34"/>
  <c r="I28" i="34"/>
  <c r="I25" i="34"/>
  <c r="I24" i="34"/>
  <c r="I23" i="34"/>
  <c r="I16" i="34"/>
  <c r="I17" i="34"/>
  <c r="I15" i="34"/>
  <c r="I14" i="34"/>
  <c r="J23" i="34"/>
  <c r="E41" i="34"/>
  <c r="H51" i="34"/>
  <c r="D51" i="34"/>
  <c r="T51" i="34"/>
  <c r="P51" i="34"/>
  <c r="E26" i="34"/>
  <c r="E25" i="34"/>
  <c r="E24" i="34"/>
  <c r="E40" i="34"/>
  <c r="E39" i="34"/>
  <c r="E38" i="34"/>
  <c r="F38" i="34"/>
  <c r="E23" i="34"/>
  <c r="E14" i="34"/>
  <c r="U6" i="34"/>
  <c r="U5" i="34"/>
  <c r="Q5" i="34"/>
  <c r="Q46" i="34" s="1"/>
  <c r="I6" i="34"/>
  <c r="I5" i="34"/>
  <c r="E5" i="34"/>
  <c r="V44" i="34"/>
  <c r="V43" i="34"/>
  <c r="V42" i="34"/>
  <c r="V41" i="34"/>
  <c r="V40" i="34"/>
  <c r="V39" i="34"/>
  <c r="V38" i="34"/>
  <c r="V37" i="34"/>
  <c r="V36" i="34"/>
  <c r="V35" i="34"/>
  <c r="V34" i="34"/>
  <c r="V33" i="34"/>
  <c r="V32" i="34"/>
  <c r="V31" i="34"/>
  <c r="V30" i="34"/>
  <c r="V29" i="34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R44" i="34"/>
  <c r="R43" i="34"/>
  <c r="R42" i="34"/>
  <c r="R41" i="34"/>
  <c r="R40" i="34"/>
  <c r="R39" i="34"/>
  <c r="R38" i="34"/>
  <c r="R37" i="34"/>
  <c r="R36" i="34"/>
  <c r="R35" i="34"/>
  <c r="R34" i="34"/>
  <c r="R33" i="34"/>
  <c r="R32" i="34"/>
  <c r="R31" i="34"/>
  <c r="R30" i="34"/>
  <c r="R29" i="34"/>
  <c r="R28" i="34"/>
  <c r="R27" i="34"/>
  <c r="R26" i="34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R6" i="34"/>
  <c r="R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F44" i="34"/>
  <c r="F43" i="34"/>
  <c r="F42" i="34"/>
  <c r="F41" i="34"/>
  <c r="F40" i="34"/>
  <c r="F39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S26" i="25"/>
  <c r="S25" i="25"/>
  <c r="S24" i="25"/>
  <c r="S23" i="25"/>
  <c r="S17" i="25"/>
  <c r="S16" i="25"/>
  <c r="S15" i="25"/>
  <c r="S14" i="25"/>
  <c r="T16" i="25"/>
  <c r="T17" i="25"/>
  <c r="S38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T44" i="25"/>
  <c r="T43" i="25"/>
  <c r="T42" i="25"/>
  <c r="T41" i="25"/>
  <c r="T40" i="25"/>
  <c r="T39" i="25"/>
  <c r="T38" i="25"/>
  <c r="T37" i="25"/>
  <c r="T36" i="25"/>
  <c r="T35" i="25"/>
  <c r="T34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5" i="25"/>
  <c r="T14" i="25"/>
  <c r="T13" i="25"/>
  <c r="T12" i="25"/>
  <c r="T11" i="25"/>
  <c r="T10" i="25"/>
  <c r="T9" i="25"/>
  <c r="T8" i="25"/>
  <c r="T7" i="25"/>
  <c r="T6" i="25"/>
  <c r="T5" i="25"/>
  <c r="O23" i="25"/>
  <c r="O26" i="25"/>
  <c r="O24" i="25"/>
  <c r="O25" i="25"/>
  <c r="O14" i="25"/>
  <c r="P17" i="25"/>
  <c r="O17" i="25"/>
  <c r="O16" i="25"/>
  <c r="O15" i="25"/>
  <c r="P6" i="25"/>
  <c r="P7" i="25"/>
  <c r="P8" i="25"/>
  <c r="P9" i="25"/>
  <c r="P10" i="25"/>
  <c r="P11" i="25"/>
  <c r="P12" i="25"/>
  <c r="P13" i="25"/>
  <c r="P14" i="25"/>
  <c r="P15" i="25"/>
  <c r="P16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5" i="25"/>
  <c r="K14" i="25"/>
  <c r="K9" i="25"/>
  <c r="K23" i="25"/>
  <c r="K41" i="25"/>
  <c r="K40" i="25"/>
  <c r="K39" i="25"/>
  <c r="K10" i="25"/>
  <c r="K8" i="25"/>
  <c r="K7" i="25"/>
  <c r="K6" i="25"/>
  <c r="S5" i="25"/>
  <c r="S46" i="25" s="1"/>
  <c r="O6" i="25"/>
  <c r="O5" i="25"/>
  <c r="K5" i="25"/>
  <c r="U34" i="37"/>
  <c r="Q34" i="37"/>
  <c r="M34" i="37"/>
  <c r="I34" i="37"/>
  <c r="E34" i="37"/>
  <c r="U33" i="37"/>
  <c r="Q33" i="37"/>
  <c r="M33" i="37"/>
  <c r="I33" i="37"/>
  <c r="E33" i="37"/>
  <c r="U32" i="37"/>
  <c r="Q32" i="37"/>
  <c r="M32" i="37"/>
  <c r="I32" i="37"/>
  <c r="E32" i="37"/>
  <c r="U34" i="36"/>
  <c r="Q34" i="36"/>
  <c r="M34" i="36"/>
  <c r="I34" i="36"/>
  <c r="E34" i="36"/>
  <c r="U33" i="36"/>
  <c r="Q33" i="36"/>
  <c r="M33" i="36"/>
  <c r="I33" i="36"/>
  <c r="E33" i="36"/>
  <c r="U32" i="36"/>
  <c r="Q32" i="36"/>
  <c r="M32" i="36"/>
  <c r="I32" i="36"/>
  <c r="I49" i="36" s="1"/>
  <c r="E32" i="36"/>
  <c r="U34" i="35"/>
  <c r="Q34" i="35"/>
  <c r="M34" i="35"/>
  <c r="I34" i="35"/>
  <c r="E34" i="35"/>
  <c r="U33" i="35"/>
  <c r="Q33" i="35"/>
  <c r="M33" i="35"/>
  <c r="I33" i="35"/>
  <c r="E33" i="35"/>
  <c r="U32" i="35"/>
  <c r="Q32" i="35"/>
  <c r="M32" i="35"/>
  <c r="I32" i="35"/>
  <c r="E32" i="35"/>
  <c r="E49" i="35" s="1"/>
  <c r="U34" i="34"/>
  <c r="Q34" i="34"/>
  <c r="U33" i="34"/>
  <c r="Q33" i="34"/>
  <c r="U32" i="34"/>
  <c r="Q32" i="34"/>
  <c r="I34" i="34"/>
  <c r="E34" i="34"/>
  <c r="I33" i="34"/>
  <c r="E33" i="34"/>
  <c r="I32" i="34"/>
  <c r="E32" i="34"/>
  <c r="O32" i="25"/>
  <c r="O33" i="25"/>
  <c r="T50" i="37"/>
  <c r="P50" i="37"/>
  <c r="L50" i="37"/>
  <c r="D50" i="37"/>
  <c r="U48" i="37"/>
  <c r="T48" i="37" s="1"/>
  <c r="P48" i="37"/>
  <c r="L48" i="37"/>
  <c r="H48" i="37"/>
  <c r="T47" i="37"/>
  <c r="L47" i="37"/>
  <c r="H47" i="37"/>
  <c r="D47" i="37"/>
  <c r="U46" i="37"/>
  <c r="T46" i="37" s="1"/>
  <c r="P46" i="37"/>
  <c r="H46" i="37"/>
  <c r="U44" i="37"/>
  <c r="Q44" i="37"/>
  <c r="M44" i="37"/>
  <c r="E44" i="37"/>
  <c r="U21" i="37"/>
  <c r="Q21" i="37"/>
  <c r="M21" i="37"/>
  <c r="I21" i="37"/>
  <c r="E21" i="37"/>
  <c r="T50" i="36"/>
  <c r="L50" i="36"/>
  <c r="D50" i="36"/>
  <c r="T48" i="36"/>
  <c r="L48" i="36"/>
  <c r="T47" i="36"/>
  <c r="P47" i="36"/>
  <c r="L47" i="36"/>
  <c r="H47" i="36"/>
  <c r="D47" i="36"/>
  <c r="U46" i="36"/>
  <c r="T46" i="36" s="1"/>
  <c r="L46" i="36"/>
  <c r="D46" i="36"/>
  <c r="U44" i="36"/>
  <c r="Q44" i="36"/>
  <c r="E44" i="36"/>
  <c r="U21" i="36"/>
  <c r="Q21" i="36"/>
  <c r="M21" i="36"/>
  <c r="I21" i="36"/>
  <c r="E21" i="36"/>
  <c r="T50" i="35"/>
  <c r="P50" i="35"/>
  <c r="L50" i="35"/>
  <c r="D50" i="35"/>
  <c r="T48" i="35"/>
  <c r="L48" i="35"/>
  <c r="T47" i="35"/>
  <c r="L47" i="35"/>
  <c r="H47" i="35"/>
  <c r="D47" i="35"/>
  <c r="H46" i="35"/>
  <c r="U44" i="35"/>
  <c r="Q44" i="35"/>
  <c r="M44" i="35"/>
  <c r="I44" i="35"/>
  <c r="E44" i="35"/>
  <c r="U21" i="35"/>
  <c r="Q21" i="35"/>
  <c r="M21" i="35"/>
  <c r="I21" i="35"/>
  <c r="E21" i="35"/>
  <c r="T50" i="34"/>
  <c r="P50" i="34"/>
  <c r="L50" i="34"/>
  <c r="D50" i="34"/>
  <c r="T48" i="34"/>
  <c r="T47" i="34"/>
  <c r="P47" i="34"/>
  <c r="L47" i="34"/>
  <c r="H47" i="34"/>
  <c r="D47" i="34"/>
  <c r="P46" i="34"/>
  <c r="U44" i="34"/>
  <c r="Q44" i="34"/>
  <c r="I44" i="34"/>
  <c r="E44" i="34"/>
  <c r="U21" i="34"/>
  <c r="Q21" i="34"/>
  <c r="I21" i="34"/>
  <c r="E21" i="34"/>
  <c r="H48" i="25"/>
  <c r="H46" i="25"/>
  <c r="H44" i="25"/>
  <c r="H34" i="25"/>
  <c r="H33" i="25"/>
  <c r="H32" i="25"/>
  <c r="H21" i="25"/>
  <c r="E44" i="25"/>
  <c r="E34" i="25"/>
  <c r="E33" i="25"/>
  <c r="E32" i="25"/>
  <c r="E21" i="25"/>
  <c r="R51" i="25"/>
  <c r="R50" i="25"/>
  <c r="R47" i="25"/>
  <c r="S44" i="25"/>
  <c r="S34" i="25"/>
  <c r="S33" i="25"/>
  <c r="S32" i="25"/>
  <c r="S21" i="25"/>
  <c r="U49" i="37" l="1"/>
  <c r="T49" i="37" s="1"/>
  <c r="K46" i="25"/>
  <c r="O46" i="25"/>
  <c r="I49" i="35"/>
  <c r="H53" i="35" s="1"/>
  <c r="Q49" i="35"/>
  <c r="M49" i="35"/>
  <c r="Q49" i="36"/>
  <c r="P49" i="36" s="1"/>
  <c r="E49" i="37"/>
  <c r="D49" i="37" s="1"/>
  <c r="S49" i="25"/>
  <c r="R49" i="25" s="1"/>
  <c r="S48" i="25"/>
  <c r="E49" i="34"/>
  <c r="E48" i="34"/>
  <c r="D48" i="34" s="1"/>
  <c r="E46" i="34"/>
  <c r="I46" i="34"/>
  <c r="I49" i="34"/>
  <c r="Q49" i="34"/>
  <c r="U49" i="34"/>
  <c r="M49" i="36"/>
  <c r="L49" i="36" s="1"/>
  <c r="L53" i="36" s="1"/>
  <c r="Q49" i="37"/>
  <c r="O48" i="25"/>
  <c r="U49" i="36"/>
  <c r="T49" i="36" s="1"/>
  <c r="T53" i="36" s="1"/>
  <c r="I49" i="37"/>
  <c r="H49" i="37" s="1"/>
  <c r="H53" i="37" s="1"/>
  <c r="U46" i="34"/>
  <c r="T46" i="34" s="1"/>
  <c r="U49" i="35"/>
  <c r="T53" i="35" s="1"/>
  <c r="M49" i="37"/>
  <c r="L49" i="37" s="1"/>
  <c r="L53" i="37" s="1"/>
  <c r="E49" i="36"/>
  <c r="D49" i="36" s="1"/>
  <c r="D53" i="36" s="1"/>
  <c r="H53" i="36"/>
  <c r="D53" i="35"/>
  <c r="Q48" i="34"/>
  <c r="I48" i="34"/>
  <c r="R48" i="25"/>
  <c r="K48" i="25"/>
  <c r="H49" i="25"/>
  <c r="P53" i="35"/>
  <c r="P53" i="37"/>
  <c r="D53" i="37"/>
  <c r="L53" i="35"/>
  <c r="P53" i="36"/>
  <c r="D53" i="34" l="1"/>
  <c r="H53" i="34"/>
  <c r="R53" i="25"/>
  <c r="O34" i="25"/>
  <c r="O49" i="25" s="1"/>
  <c r="K34" i="25"/>
  <c r="K33" i="25"/>
  <c r="K32" i="25"/>
  <c r="K49" i="25" l="1"/>
  <c r="N51" i="25"/>
  <c r="J51" i="25"/>
  <c r="E48" i="25" l="1"/>
  <c r="E49" i="25" l="1"/>
  <c r="N50" i="25" l="1"/>
  <c r="J50" i="25"/>
  <c r="G50" i="25"/>
  <c r="D50" i="25"/>
  <c r="J48" i="25"/>
  <c r="G48" i="25"/>
  <c r="D48" i="25"/>
  <c r="J47" i="25"/>
  <c r="G47" i="25"/>
  <c r="D47" i="25"/>
  <c r="O44" i="25"/>
  <c r="K44" i="25"/>
  <c r="G49" i="25"/>
  <c r="O21" i="25"/>
  <c r="K21" i="25"/>
  <c r="E46" i="25"/>
  <c r="D49" i="25" l="1"/>
  <c r="D46" i="25"/>
  <c r="N53" i="25"/>
  <c r="G46" i="25"/>
  <c r="G53" i="25" s="1"/>
  <c r="J53" i="25"/>
  <c r="D53" i="25" l="1"/>
</calcChain>
</file>

<file path=xl/sharedStrings.xml><?xml version="1.0" encoding="utf-8"?>
<sst xmlns="http://schemas.openxmlformats.org/spreadsheetml/2006/main" count="868" uniqueCount="386">
  <si>
    <t>菜單組成(單位：g) 及 材料用量</t>
  </si>
  <si>
    <t>日期</t>
  </si>
  <si>
    <t>湯</t>
  </si>
  <si>
    <t>蓬萊米</t>
  </si>
  <si>
    <t>豆魚肉蛋類(份)</t>
    <phoneticPr fontId="2" type="noConversion"/>
  </si>
  <si>
    <t>蔬菜類(份)</t>
    <phoneticPr fontId="2" type="noConversion"/>
  </si>
  <si>
    <t>水果類(份)</t>
    <phoneticPr fontId="2" type="noConversion"/>
  </si>
  <si>
    <t>油脂與堅果種子類(份)</t>
    <phoneticPr fontId="2" type="noConversion"/>
  </si>
  <si>
    <t>熱量(大卡)</t>
    <phoneticPr fontId="2" type="noConversion"/>
  </si>
  <si>
    <t xml:space="preserve"> 週一</t>
    <phoneticPr fontId="2" type="noConversion"/>
  </si>
  <si>
    <t>週二</t>
    <phoneticPr fontId="2" type="noConversion"/>
  </si>
  <si>
    <t>週三</t>
    <phoneticPr fontId="2" type="noConversion"/>
  </si>
  <si>
    <t>週四</t>
    <phoneticPr fontId="2" type="noConversion"/>
  </si>
  <si>
    <t>週五</t>
    <phoneticPr fontId="2" type="noConversion"/>
  </si>
  <si>
    <t>日期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</si>
  <si>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</si>
  <si>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</si>
  <si>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</si>
  <si>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青菜</t>
    <phoneticPr fontId="2" type="noConversion"/>
  </si>
  <si>
    <t>湯</t>
    <phoneticPr fontId="2" type="noConversion"/>
  </si>
  <si>
    <t>附餐</t>
    <phoneticPr fontId="2" type="noConversion"/>
  </si>
  <si>
    <t>和峰食品有限公司 竹南鎮崎頂里13鄰崎頂5號    電話:037-580036 傳真:037-584300</t>
    <phoneticPr fontId="2" type="noConversion"/>
  </si>
  <si>
    <t>白米飯</t>
    <phoneticPr fontId="2" type="noConversion"/>
  </si>
  <si>
    <t>時令蔬菜</t>
    <phoneticPr fontId="2" type="noConversion"/>
  </si>
  <si>
    <t>全穀根莖類(份)</t>
    <phoneticPr fontId="2" type="noConversion"/>
  </si>
  <si>
    <t>低脂乳品類(份)</t>
    <phoneticPr fontId="2" type="noConversion"/>
  </si>
  <si>
    <t>糙米飯</t>
    <phoneticPr fontId="2" type="noConversion"/>
  </si>
  <si>
    <t>衛生管理人員：                   午餐秘書：                   校長：</t>
    <phoneticPr fontId="2" type="noConversion"/>
  </si>
  <si>
    <t>紫米飯</t>
    <phoneticPr fontId="2" type="noConversion"/>
  </si>
  <si>
    <t>紅豆西谷米</t>
    <phoneticPr fontId="2" type="noConversion"/>
  </si>
  <si>
    <t>喜相逢*2</t>
    <phoneticPr fontId="2" type="noConversion"/>
  </si>
  <si>
    <t>沙茶魚丁</t>
    <phoneticPr fontId="2" type="noConversion"/>
  </si>
  <si>
    <t>紅燒獅子頭</t>
    <phoneticPr fontId="2" type="noConversion"/>
  </si>
  <si>
    <t>原味卡拉</t>
    <phoneticPr fontId="2" type="noConversion"/>
  </si>
  <si>
    <t>味噌湯</t>
    <phoneticPr fontId="2" type="noConversion"/>
  </si>
  <si>
    <t>麻油雞</t>
    <phoneticPr fontId="2" type="noConversion"/>
  </si>
  <si>
    <t>白米飯</t>
  </si>
  <si>
    <t>白米飯</t>
    <phoneticPr fontId="2" type="noConversion"/>
  </si>
  <si>
    <t>白米飯</t>
    <phoneticPr fontId="2" type="noConversion"/>
  </si>
  <si>
    <t>客家鹹飯</t>
    <phoneticPr fontId="2" type="noConversion"/>
  </si>
  <si>
    <t>菜脯</t>
    <phoneticPr fontId="2" type="noConversion"/>
  </si>
  <si>
    <t>筍丁</t>
    <phoneticPr fontId="2" type="noConversion"/>
  </si>
  <si>
    <t>乾香菇</t>
    <phoneticPr fontId="2" type="noConversion"/>
  </si>
  <si>
    <t>香嫩腿排</t>
    <phoneticPr fontId="2" type="noConversion"/>
  </si>
  <si>
    <t>香嫩腿排</t>
    <phoneticPr fontId="2" type="noConversion"/>
  </si>
  <si>
    <t>芝麻球</t>
    <phoneticPr fontId="2" type="noConversion"/>
  </si>
  <si>
    <t>時令蔬菜</t>
    <phoneticPr fontId="2" type="noConversion"/>
  </si>
  <si>
    <t>青菜</t>
    <phoneticPr fontId="2" type="noConversion"/>
  </si>
  <si>
    <t>小虱目魚丸</t>
    <phoneticPr fontId="2" type="noConversion"/>
  </si>
  <si>
    <t>樹子燒魚</t>
    <phoneticPr fontId="2" type="noConversion"/>
  </si>
  <si>
    <t>樹子燒魚</t>
    <phoneticPr fontId="2" type="noConversion"/>
  </si>
  <si>
    <t>洋蔥</t>
    <phoneticPr fontId="2" type="noConversion"/>
  </si>
  <si>
    <t>樹子</t>
    <phoneticPr fontId="2" type="noConversion"/>
  </si>
  <si>
    <t>玉米滑蛋</t>
    <phoneticPr fontId="2" type="noConversion"/>
  </si>
  <si>
    <t>玉米滑蛋</t>
    <phoneticPr fontId="2" type="noConversion"/>
  </si>
  <si>
    <t>玉米粒</t>
    <phoneticPr fontId="2" type="noConversion"/>
  </si>
  <si>
    <t>紅蘿蔔</t>
    <phoneticPr fontId="2" type="noConversion"/>
  </si>
  <si>
    <t>時令蔬菜</t>
    <phoneticPr fontId="2" type="noConversion"/>
  </si>
  <si>
    <t>芝麻飯</t>
    <phoneticPr fontId="2" type="noConversion"/>
  </si>
  <si>
    <t>黑胡椒肉柳</t>
    <phoneticPr fontId="2" type="noConversion"/>
  </si>
  <si>
    <t>黑胡椒肉柳</t>
    <phoneticPr fontId="2" type="noConversion"/>
  </si>
  <si>
    <t>肉柳</t>
    <phoneticPr fontId="2" type="noConversion"/>
  </si>
  <si>
    <t>大白菜</t>
    <phoneticPr fontId="2" type="noConversion"/>
  </si>
  <si>
    <t>綠豆湯</t>
    <phoneticPr fontId="2" type="noConversion"/>
  </si>
  <si>
    <t>綠豆</t>
    <phoneticPr fontId="2" type="noConversion"/>
  </si>
  <si>
    <t>鮮味花枝排</t>
    <phoneticPr fontId="2" type="noConversion"/>
  </si>
  <si>
    <t>洋蔥</t>
    <phoneticPr fontId="2" type="noConversion"/>
  </si>
  <si>
    <t>九層塔</t>
    <phoneticPr fontId="2" type="noConversion"/>
  </si>
  <si>
    <t>榨菜粉絲湯</t>
    <phoneticPr fontId="2" type="noConversion"/>
  </si>
  <si>
    <t>冬粉</t>
    <phoneticPr fontId="2" type="noConversion"/>
  </si>
  <si>
    <t>榨菜絲</t>
    <phoneticPr fontId="2" type="noConversion"/>
  </si>
  <si>
    <t>糙米飯</t>
  </si>
  <si>
    <t>糙米飯</t>
    <phoneticPr fontId="2" type="noConversion"/>
  </si>
  <si>
    <t>糙米飯</t>
    <phoneticPr fontId="2" type="noConversion"/>
  </si>
  <si>
    <t>糙米</t>
    <phoneticPr fontId="2" type="noConversion"/>
  </si>
  <si>
    <t>雞丁</t>
    <phoneticPr fontId="2" type="noConversion"/>
  </si>
  <si>
    <t>家常寬粉</t>
    <phoneticPr fontId="2" type="noConversion"/>
  </si>
  <si>
    <t>寬粉</t>
    <phoneticPr fontId="2" type="noConversion"/>
  </si>
  <si>
    <t>豆芽菜</t>
    <phoneticPr fontId="2" type="noConversion"/>
  </si>
  <si>
    <t>紅蘿蔔</t>
    <phoneticPr fontId="2" type="noConversion"/>
  </si>
  <si>
    <t>冬瓜</t>
    <phoneticPr fontId="2" type="noConversion"/>
  </si>
  <si>
    <t>枸杞</t>
    <phoneticPr fontId="2" type="noConversion"/>
  </si>
  <si>
    <t>白油麵</t>
    <phoneticPr fontId="2" type="noConversion"/>
  </si>
  <si>
    <t>筍絲</t>
    <phoneticPr fontId="2" type="noConversion"/>
  </si>
  <si>
    <t>金針菇</t>
    <phoneticPr fontId="2" type="noConversion"/>
  </si>
  <si>
    <t>洋蔥</t>
    <phoneticPr fontId="2" type="noConversion"/>
  </si>
  <si>
    <t>客家小炒</t>
    <phoneticPr fontId="2" type="noConversion"/>
  </si>
  <si>
    <t>豆干片</t>
    <phoneticPr fontId="2" type="noConversion"/>
  </si>
  <si>
    <t>芹菜</t>
    <phoneticPr fontId="2" type="noConversion"/>
  </si>
  <si>
    <t>肉絲</t>
    <phoneticPr fontId="2" type="noConversion"/>
  </si>
  <si>
    <t>海芽蛋花湯</t>
    <phoneticPr fontId="2" type="noConversion"/>
  </si>
  <si>
    <t>地瓜飯</t>
    <phoneticPr fontId="2" type="noConversion"/>
  </si>
  <si>
    <t>地瓜</t>
    <phoneticPr fontId="2" type="noConversion"/>
  </si>
  <si>
    <t>回鍋肉</t>
    <phoneticPr fontId="2" type="noConversion"/>
  </si>
  <si>
    <t>肉片</t>
    <phoneticPr fontId="2" type="noConversion"/>
  </si>
  <si>
    <t>柴魚關東煮</t>
    <phoneticPr fontId="2" type="noConversion"/>
  </si>
  <si>
    <t>白蘿蔔</t>
    <phoneticPr fontId="2" type="noConversion"/>
  </si>
  <si>
    <t>海帶結</t>
    <phoneticPr fontId="2" type="noConversion"/>
  </si>
  <si>
    <t>花瓜燒雞</t>
    <phoneticPr fontId="2" type="noConversion"/>
  </si>
  <si>
    <t>花瓜燒雞</t>
    <phoneticPr fontId="2" type="noConversion"/>
  </si>
  <si>
    <t>花瓜</t>
    <phoneticPr fontId="2" type="noConversion"/>
  </si>
  <si>
    <t>玉米粒</t>
    <phoneticPr fontId="2" type="noConversion"/>
  </si>
  <si>
    <t>青豆仁</t>
    <phoneticPr fontId="2" type="noConversion"/>
  </si>
  <si>
    <t>絞肉</t>
    <phoneticPr fontId="2" type="noConversion"/>
  </si>
  <si>
    <t>海結湯</t>
    <phoneticPr fontId="2" type="noConversion"/>
  </si>
  <si>
    <t>米血</t>
    <phoneticPr fontId="2" type="noConversion"/>
  </si>
  <si>
    <t>鮮蔬滑蛋</t>
    <phoneticPr fontId="2" type="noConversion"/>
  </si>
  <si>
    <t>鮮蔬滑蛋</t>
    <phoneticPr fontId="2" type="noConversion"/>
  </si>
  <si>
    <t>筍絲豆腐湯</t>
    <phoneticPr fontId="2" type="noConversion"/>
  </si>
  <si>
    <t>豆腐</t>
    <phoneticPr fontId="2" type="noConversion"/>
  </si>
  <si>
    <t>高麗菜</t>
    <phoneticPr fontId="2" type="noConversion"/>
  </si>
  <si>
    <t>馬鈴薯</t>
    <phoneticPr fontId="2" type="noConversion"/>
  </si>
  <si>
    <t>五穀米</t>
    <phoneticPr fontId="2" type="noConversion"/>
  </si>
  <si>
    <t>肉羹</t>
    <phoneticPr fontId="2" type="noConversion"/>
  </si>
  <si>
    <t>小米飯</t>
    <phoneticPr fontId="2" type="noConversion"/>
  </si>
  <si>
    <t>乾煸四季豆</t>
    <phoneticPr fontId="2" type="noConversion"/>
  </si>
  <si>
    <t>四季豆</t>
    <phoneticPr fontId="2" type="noConversion"/>
  </si>
  <si>
    <t>燒仙草</t>
    <phoneticPr fontId="2" type="noConversion"/>
  </si>
  <si>
    <t>仙草凍</t>
    <phoneticPr fontId="2" type="noConversion"/>
  </si>
  <si>
    <t>紅豆</t>
    <phoneticPr fontId="2" type="noConversion"/>
  </si>
  <si>
    <t>小薏仁</t>
    <phoneticPr fontId="2" type="noConversion"/>
  </si>
  <si>
    <t>沙茶雞丁</t>
    <phoneticPr fontId="2" type="noConversion"/>
  </si>
  <si>
    <t>沙茶雞丁</t>
    <phoneticPr fontId="2" type="noConversion"/>
  </si>
  <si>
    <t>筍茸</t>
    <phoneticPr fontId="2" type="noConversion"/>
  </si>
  <si>
    <t>大白菜</t>
    <phoneticPr fontId="2" type="noConversion"/>
  </si>
  <si>
    <t>蒜香拌肉</t>
  </si>
  <si>
    <t>蒜香拌肉</t>
    <phoneticPr fontId="2" type="noConversion"/>
  </si>
  <si>
    <t>蒜泥</t>
    <phoneticPr fontId="2" type="noConversion"/>
  </si>
  <si>
    <t>麻婆豆腐</t>
  </si>
  <si>
    <t>麻婆豆腐</t>
    <phoneticPr fontId="2" type="noConversion"/>
  </si>
  <si>
    <t>雞腿排</t>
    <phoneticPr fontId="2" type="noConversion"/>
  </si>
  <si>
    <t>肉絲</t>
    <phoneticPr fontId="2" type="noConversion"/>
  </si>
  <si>
    <t>白蘿蔔</t>
    <phoneticPr fontId="2" type="noConversion"/>
  </si>
  <si>
    <t>芹菜</t>
    <phoneticPr fontId="2" type="noConversion"/>
  </si>
  <si>
    <t>蓬萊米</t>
    <phoneticPr fontId="2" type="noConversion"/>
  </si>
  <si>
    <t>彩椒</t>
    <phoneticPr fontId="2" type="noConversion"/>
  </si>
  <si>
    <t>生香菇</t>
    <phoneticPr fontId="2" type="noConversion"/>
  </si>
  <si>
    <t>蒜末</t>
    <phoneticPr fontId="2" type="noConversion"/>
  </si>
  <si>
    <t>薑絲</t>
    <phoneticPr fontId="2" type="noConversion"/>
  </si>
  <si>
    <t>洗選蛋</t>
    <phoneticPr fontId="2" type="noConversion"/>
  </si>
  <si>
    <t>三色丁</t>
    <phoneticPr fontId="2" type="noConversion"/>
  </si>
  <si>
    <t>青蔥</t>
    <phoneticPr fontId="2" type="noConversion"/>
  </si>
  <si>
    <t>白旗丁</t>
    <phoneticPr fontId="2" type="noConversion"/>
  </si>
  <si>
    <t>黑芝麻</t>
    <phoneticPr fontId="2" type="noConversion"/>
  </si>
  <si>
    <t>豆干片</t>
    <phoneticPr fontId="2" type="noConversion"/>
  </si>
  <si>
    <t xml:space="preserve"> </t>
    <phoneticPr fontId="2" type="noConversion"/>
  </si>
  <si>
    <t>乾木耳</t>
    <phoneticPr fontId="2" type="noConversion"/>
  </si>
  <si>
    <t>(提前)</t>
    <phoneticPr fontId="2" type="noConversion"/>
  </si>
  <si>
    <t>花枝排</t>
    <phoneticPr fontId="2" type="noConversion"/>
  </si>
  <si>
    <t>洗選蛋</t>
    <phoneticPr fontId="2" type="noConversion"/>
  </si>
  <si>
    <t>開陽</t>
    <phoneticPr fontId="2" type="noConversion"/>
  </si>
  <si>
    <t>生香菇</t>
    <phoneticPr fontId="2" type="noConversion"/>
  </si>
  <si>
    <t>彩椒</t>
    <phoneticPr fontId="2" type="noConversion"/>
  </si>
  <si>
    <t>乾木耳</t>
    <phoneticPr fontId="2" type="noConversion"/>
  </si>
  <si>
    <t>青蔥</t>
    <phoneticPr fontId="2" type="noConversion"/>
  </si>
  <si>
    <t>海帶芽</t>
    <phoneticPr fontId="2" type="noConversion"/>
  </si>
  <si>
    <t xml:space="preserve"> </t>
    <phoneticPr fontId="2" type="noConversion"/>
  </si>
  <si>
    <t>小魚丸</t>
    <phoneticPr fontId="2" type="noConversion"/>
  </si>
  <si>
    <t>海帶結</t>
    <phoneticPr fontId="2" type="noConversion"/>
  </si>
  <si>
    <t>玉米粒</t>
    <phoneticPr fontId="2" type="noConversion"/>
  </si>
  <si>
    <t>洗選蛋</t>
    <phoneticPr fontId="2" type="noConversion"/>
  </si>
  <si>
    <t>四分干</t>
    <phoneticPr fontId="2" type="noConversion"/>
  </si>
  <si>
    <t>紅蘿蔔</t>
    <phoneticPr fontId="2" type="noConversion"/>
  </si>
  <si>
    <t>三色丁</t>
    <phoneticPr fontId="2" type="noConversion"/>
  </si>
  <si>
    <t>杏鮑菇</t>
    <phoneticPr fontId="2" type="noConversion"/>
  </si>
  <si>
    <t>原味卡拉</t>
  </si>
  <si>
    <t>沙茶魚丁</t>
  </si>
  <si>
    <t>紅燒獅子頭</t>
  </si>
  <si>
    <t>味噌湯</t>
  </si>
  <si>
    <t>紅豆西谷米</t>
  </si>
  <si>
    <t>紫米飯</t>
  </si>
  <si>
    <t>卡拉雞排</t>
    <phoneticPr fontId="2" type="noConversion"/>
  </si>
  <si>
    <t>青椒</t>
    <phoneticPr fontId="2" type="noConversion"/>
  </si>
  <si>
    <t xml:space="preserve">紫米 </t>
    <phoneticPr fontId="2" type="noConversion"/>
  </si>
  <si>
    <t>排骨丁</t>
    <phoneticPr fontId="2" type="noConversion"/>
  </si>
  <si>
    <t>麵輪</t>
    <phoneticPr fontId="2" type="noConversion"/>
  </si>
  <si>
    <t xml:space="preserve">味噌 </t>
    <phoneticPr fontId="2" type="noConversion"/>
  </si>
  <si>
    <t>獅子頭</t>
    <phoneticPr fontId="2" type="noConversion"/>
  </si>
  <si>
    <t>青豆仁</t>
    <phoneticPr fontId="2" type="noConversion"/>
  </si>
  <si>
    <t>三色丁</t>
    <phoneticPr fontId="2" type="noConversion"/>
  </si>
  <si>
    <t>火腿丁</t>
    <phoneticPr fontId="2" type="noConversion"/>
  </si>
  <si>
    <t>客家鹹飯</t>
    <phoneticPr fontId="2" type="noConversion"/>
  </si>
  <si>
    <t>芝麻飯</t>
    <phoneticPr fontId="2" type="noConversion"/>
  </si>
  <si>
    <t>芝麻球</t>
    <phoneticPr fontId="2" type="noConversion"/>
  </si>
  <si>
    <t>白米飯</t>
    <phoneticPr fontId="2" type="noConversion"/>
  </si>
  <si>
    <t>糙米飯</t>
    <phoneticPr fontId="2" type="noConversion"/>
  </si>
  <si>
    <t>榨菜粉絲湯</t>
    <phoneticPr fontId="2" type="noConversion"/>
  </si>
  <si>
    <t>海芽蛋花湯</t>
    <phoneticPr fontId="2" type="noConversion"/>
  </si>
  <si>
    <t>大白菜</t>
    <phoneticPr fontId="2" type="noConversion"/>
  </si>
  <si>
    <t>凍豆腐</t>
    <phoneticPr fontId="2" type="noConversion"/>
  </si>
  <si>
    <t xml:space="preserve">紅豆 </t>
    <phoneticPr fontId="2" type="noConversion"/>
  </si>
  <si>
    <t>西谷米</t>
    <phoneticPr fontId="2" type="noConversion"/>
  </si>
  <si>
    <t>肉角</t>
    <phoneticPr fontId="2" type="noConversion"/>
  </si>
  <si>
    <t>大黑干丁</t>
    <phoneticPr fontId="2" type="noConversion"/>
  </si>
  <si>
    <t>塔香海根</t>
    <phoneticPr fontId="2" type="noConversion"/>
  </si>
  <si>
    <t>海帶根</t>
    <phoneticPr fontId="2" type="noConversion"/>
  </si>
  <si>
    <t>塔香海根</t>
    <phoneticPr fontId="2" type="noConversion"/>
  </si>
  <si>
    <t>麻油雞</t>
  </si>
  <si>
    <t>喜相逢*2</t>
  </si>
  <si>
    <t>酸辣湯</t>
  </si>
  <si>
    <t>米血丁</t>
    <phoneticPr fontId="2" type="noConversion"/>
  </si>
  <si>
    <t>薑片</t>
    <phoneticPr fontId="2" type="noConversion"/>
  </si>
  <si>
    <t>鮮芹</t>
    <phoneticPr fontId="2" type="noConversion"/>
  </si>
  <si>
    <t>豆干</t>
    <phoneticPr fontId="2" type="noConversion"/>
  </si>
  <si>
    <t>發泡魷魚</t>
    <phoneticPr fontId="2" type="noConversion"/>
  </si>
  <si>
    <t>肉絲</t>
    <phoneticPr fontId="2" type="noConversion"/>
  </si>
  <si>
    <t>蔥段</t>
    <phoneticPr fontId="2" type="noConversion"/>
  </si>
  <si>
    <t>高麗菜</t>
    <phoneticPr fontId="13" type="noConversion"/>
  </si>
  <si>
    <t>肉絲</t>
    <phoneticPr fontId="13" type="noConversion"/>
  </si>
  <si>
    <t>紅蘿蔔絲</t>
    <phoneticPr fontId="13" type="noConversion"/>
  </si>
  <si>
    <t>木耳絲</t>
    <phoneticPr fontId="13" type="noConversion"/>
  </si>
  <si>
    <t>乾香菇</t>
    <phoneticPr fontId="13" type="noConversion"/>
  </si>
  <si>
    <t>開陽</t>
    <phoneticPr fontId="12" type="noConversion"/>
  </si>
  <si>
    <t>紅蔥頭</t>
    <phoneticPr fontId="12" type="noConversion"/>
  </si>
  <si>
    <t>雪花金菇湯</t>
  </si>
  <si>
    <t>雪花金菇湯</t>
    <phoneticPr fontId="2" type="noConversion"/>
  </si>
  <si>
    <t>豆腐</t>
    <phoneticPr fontId="2" type="noConversion"/>
  </si>
  <si>
    <t>筍絲</t>
    <phoneticPr fontId="2" type="noConversion"/>
  </si>
  <si>
    <t>干木耳</t>
    <phoneticPr fontId="2" type="noConversion"/>
  </si>
  <si>
    <t>貢丸片</t>
    <phoneticPr fontId="2" type="noConversion"/>
  </si>
  <si>
    <t>柳葉魚</t>
    <phoneticPr fontId="2" type="noConversion"/>
  </si>
  <si>
    <t>筍香排骨湯</t>
  </si>
  <si>
    <t>筍香排骨湯</t>
    <phoneticPr fontId="2" type="noConversion"/>
  </si>
  <si>
    <t>筍片</t>
    <phoneticPr fontId="2" type="noConversion"/>
  </si>
  <si>
    <t>酸辣湯</t>
    <phoneticPr fontId="2" type="noConversion"/>
  </si>
  <si>
    <t>冬瓜魚丸湯</t>
    <phoneticPr fontId="2" type="noConversion"/>
  </si>
  <si>
    <t>玉米段</t>
    <phoneticPr fontId="2" type="noConversion"/>
  </si>
  <si>
    <t>肉羹湯</t>
    <phoneticPr fontId="2" type="noConversion"/>
  </si>
  <si>
    <t>白蘿蔔</t>
    <phoneticPr fontId="2" type="noConversion"/>
  </si>
  <si>
    <t>生香菇</t>
    <phoneticPr fontId="2" type="noConversion"/>
  </si>
  <si>
    <t xml:space="preserve">肉羹 </t>
    <phoneticPr fontId="2" type="noConversion"/>
  </si>
  <si>
    <t>肉羹湯</t>
    <phoneticPr fontId="2" type="noConversion"/>
  </si>
  <si>
    <t>味甜肉厚，皮肉都可以食用。南瓜含有豐富的維生素A、B、C及礦物質，磷、鈣、鎂、鋅等微量元素。</t>
    <phoneticPr fontId="2" type="noConversion"/>
  </si>
  <si>
    <t>南  瓜</t>
    <phoneticPr fontId="2" type="noConversion"/>
  </si>
  <si>
    <t>肉羹白菜</t>
    <phoneticPr fontId="2" type="noConversion"/>
  </si>
  <si>
    <t>綠豆薏仁</t>
    <phoneticPr fontId="2" type="noConversion"/>
  </si>
  <si>
    <t>薏仁</t>
    <phoneticPr fontId="2" type="noConversion"/>
  </si>
  <si>
    <t>筍絲</t>
    <phoneticPr fontId="2" type="noConversion"/>
  </si>
  <si>
    <t>肉羹</t>
    <phoneticPr fontId="2" type="noConversion"/>
  </si>
  <si>
    <t>白米飯</t>
    <phoneticPr fontId="2" type="noConversion"/>
  </si>
  <si>
    <t>菜餔蛋</t>
    <phoneticPr fontId="2" type="noConversion"/>
  </si>
  <si>
    <t>菜餔</t>
    <phoneticPr fontId="2" type="noConversion"/>
  </si>
  <si>
    <t>醬爆燒雞</t>
    <phoneticPr fontId="2" type="noConversion"/>
  </si>
  <si>
    <t>紅蘿蔔</t>
    <phoneticPr fontId="2" type="noConversion"/>
  </si>
  <si>
    <t>青椒</t>
    <phoneticPr fontId="2" type="noConversion"/>
  </si>
  <si>
    <t>冬瓜肉片湯</t>
    <phoneticPr fontId="2" type="noConversion"/>
  </si>
  <si>
    <t>火鍋肉片</t>
    <phoneticPr fontId="2" type="noConversion"/>
  </si>
  <si>
    <t>薑絲</t>
    <phoneticPr fontId="2" type="noConversion"/>
  </si>
  <si>
    <t>水果</t>
    <phoneticPr fontId="2" type="noConversion"/>
  </si>
  <si>
    <t>優酪乳</t>
    <phoneticPr fontId="2" type="noConversion"/>
  </si>
  <si>
    <t>保久豆漿</t>
    <phoneticPr fontId="2" type="noConversion"/>
  </si>
  <si>
    <t>鮮乳</t>
    <phoneticPr fontId="2" type="noConversion"/>
  </si>
  <si>
    <t>果汁</t>
    <phoneticPr fontId="2" type="noConversion"/>
  </si>
  <si>
    <t>五穀飯</t>
    <phoneticPr fontId="2" type="noConversion"/>
  </si>
  <si>
    <t>香菇肉燥粄條</t>
    <phoneticPr fontId="2" type="noConversion"/>
  </si>
  <si>
    <t>粄條</t>
    <phoneticPr fontId="2" type="noConversion"/>
  </si>
  <si>
    <t>生香菇</t>
    <phoneticPr fontId="2" type="noConversion"/>
  </si>
  <si>
    <t>乾香菇</t>
    <phoneticPr fontId="2" type="noConversion"/>
  </si>
  <si>
    <t>絞肉</t>
    <phoneticPr fontId="2" type="noConversion"/>
  </si>
  <si>
    <t>豆芽菜</t>
    <phoneticPr fontId="2" type="noConversion"/>
  </si>
  <si>
    <t>韭菜</t>
    <phoneticPr fontId="2" type="noConversion"/>
  </si>
  <si>
    <t>香滷雞腿</t>
    <phoneticPr fontId="2" type="noConversion"/>
  </si>
  <si>
    <t>D5雞腿</t>
    <phoneticPr fontId="2" type="noConversion"/>
  </si>
  <si>
    <t>銀絲卷</t>
    <phoneticPr fontId="2" type="noConversion"/>
  </si>
  <si>
    <t>銀絲卷(70g)</t>
    <phoneticPr fontId="2" type="noConversion"/>
  </si>
  <si>
    <t>翡翠豆腐湯</t>
    <phoneticPr fontId="2" type="noConversion"/>
  </si>
  <si>
    <t>翡翠(巨富)</t>
    <phoneticPr fontId="2" type="noConversion"/>
  </si>
  <si>
    <t>豆腐</t>
    <phoneticPr fontId="2" type="noConversion"/>
  </si>
  <si>
    <t>洗選蛋</t>
    <phoneticPr fontId="2" type="noConversion"/>
  </si>
  <si>
    <t>梅干控肉</t>
    <phoneticPr fontId="2" type="noConversion"/>
  </si>
  <si>
    <t>帶皮肉角</t>
    <phoneticPr fontId="2" type="noConversion"/>
  </si>
  <si>
    <t>肉角</t>
    <phoneticPr fontId="2" type="noConversion"/>
  </si>
  <si>
    <t>豆干丁</t>
    <phoneticPr fontId="2" type="noConversion"/>
  </si>
  <si>
    <t>蒜角</t>
    <phoneticPr fontId="2" type="noConversion"/>
  </si>
  <si>
    <t>梅干菜</t>
    <phoneticPr fontId="2" type="noConversion"/>
  </si>
  <si>
    <t>地瓜飯</t>
    <phoneticPr fontId="2" type="noConversion"/>
  </si>
  <si>
    <t>地瓜QQ圓</t>
    <phoneticPr fontId="2" type="noConversion"/>
  </si>
  <si>
    <t>地瓜</t>
    <phoneticPr fontId="2" type="noConversion"/>
  </si>
  <si>
    <t>QQ圓</t>
    <phoneticPr fontId="2" type="noConversion"/>
  </si>
  <si>
    <t>繽紛四寶</t>
    <phoneticPr fontId="2" type="noConversion"/>
  </si>
  <si>
    <t>海結湯</t>
    <phoneticPr fontId="2" type="noConversion"/>
  </si>
  <si>
    <t>香酥魚排</t>
    <phoneticPr fontId="2" type="noConversion"/>
  </si>
  <si>
    <t>調理魚排</t>
    <phoneticPr fontId="2" type="noConversion"/>
  </si>
  <si>
    <t>玉米濃湯</t>
    <phoneticPr fontId="2" type="noConversion"/>
  </si>
  <si>
    <t>薑絲鳳梨炒銀耳</t>
    <phoneticPr fontId="2" type="noConversion"/>
  </si>
  <si>
    <t>木耳</t>
    <phoneticPr fontId="2" type="noConversion"/>
  </si>
  <si>
    <t>鳳梨罐頭丁</t>
    <phoneticPr fontId="2" type="noConversion"/>
  </si>
  <si>
    <t>薑絲</t>
    <phoneticPr fontId="2" type="noConversion"/>
  </si>
  <si>
    <t>金喜肉排</t>
    <phoneticPr fontId="2" type="noConversion"/>
  </si>
  <si>
    <t>鐵板麵</t>
    <phoneticPr fontId="2" type="noConversion"/>
  </si>
  <si>
    <t>三色丁</t>
    <phoneticPr fontId="2" type="noConversion"/>
  </si>
  <si>
    <t>玉米粒</t>
    <phoneticPr fontId="2" type="noConversion"/>
  </si>
  <si>
    <t>鐵板醬</t>
    <phoneticPr fontId="2" type="noConversion"/>
  </si>
  <si>
    <t>馬鈴薯炒肉</t>
    <phoneticPr fontId="2" type="noConversion"/>
  </si>
  <si>
    <t>白卜冬粉</t>
    <phoneticPr fontId="2" type="noConversion"/>
  </si>
  <si>
    <t>火鍋肉片</t>
    <phoneticPr fontId="2" type="noConversion"/>
  </si>
  <si>
    <t>馬鈴薯</t>
    <phoneticPr fontId="2" type="noConversion"/>
  </si>
  <si>
    <t>玉米粒</t>
    <phoneticPr fontId="2" type="noConversion"/>
  </si>
  <si>
    <t>三色豆</t>
    <phoneticPr fontId="2" type="noConversion"/>
  </si>
  <si>
    <t>百頁豆腐</t>
    <phoneticPr fontId="2" type="noConversion"/>
  </si>
  <si>
    <t>筍乾燜雞</t>
    <phoneticPr fontId="2" type="noConversion"/>
  </si>
  <si>
    <t>紅蘿蔔</t>
    <phoneticPr fontId="2" type="noConversion"/>
  </si>
  <si>
    <t>棒腿丁</t>
    <phoneticPr fontId="2" type="noConversion"/>
  </si>
  <si>
    <t>筍乾</t>
    <phoneticPr fontId="2" type="noConversion"/>
  </si>
  <si>
    <t>小油豆腐丁</t>
    <phoneticPr fontId="2" type="noConversion"/>
  </si>
  <si>
    <t>肉絲筍茸</t>
    <phoneticPr fontId="2" type="noConversion"/>
  </si>
  <si>
    <t>酸菜豬血湯</t>
    <phoneticPr fontId="2" type="noConversion"/>
  </si>
  <si>
    <t>酸菜豬血湯</t>
    <phoneticPr fontId="2" type="noConversion"/>
  </si>
  <si>
    <t>酸菜黑絲</t>
    <phoneticPr fontId="2" type="noConversion"/>
  </si>
  <si>
    <t>豬血</t>
    <phoneticPr fontId="2" type="noConversion"/>
  </si>
  <si>
    <t>薑絲</t>
    <phoneticPr fontId="2" type="noConversion"/>
  </si>
  <si>
    <t>肉絲</t>
    <phoneticPr fontId="2" type="noConversion"/>
  </si>
  <si>
    <t>芹菜</t>
    <phoneticPr fontId="2" type="noConversion"/>
  </si>
  <si>
    <t>大白菜</t>
    <phoneticPr fontId="2" type="noConversion"/>
  </si>
  <si>
    <t>高麗菜</t>
    <phoneticPr fontId="2" type="noConversion"/>
  </si>
  <si>
    <t>火腿蛋炒飯</t>
    <phoneticPr fontId="2" type="noConversion"/>
  </si>
  <si>
    <t>洗選蛋</t>
    <phoneticPr fontId="2" type="noConversion"/>
  </si>
  <si>
    <t>火腿蛋炒飯</t>
    <phoneticPr fontId="2" type="noConversion"/>
  </si>
  <si>
    <t>玉米肉絲湯</t>
    <phoneticPr fontId="2" type="noConversion"/>
  </si>
  <si>
    <t>玉米肉絲湯</t>
    <phoneticPr fontId="2" type="noConversion"/>
  </si>
  <si>
    <t>玉米段</t>
    <phoneticPr fontId="2" type="noConversion"/>
  </si>
  <si>
    <t>紅蘿蔔</t>
    <phoneticPr fontId="2" type="noConversion"/>
  </si>
  <si>
    <t>生香菇</t>
    <phoneticPr fontId="2" type="noConversion"/>
  </si>
  <si>
    <t>白米飯</t>
    <phoneticPr fontId="2" type="noConversion"/>
  </si>
  <si>
    <t>黑干燒肉</t>
    <phoneticPr fontId="2" type="noConversion"/>
  </si>
  <si>
    <t>黑干燒肉</t>
    <phoneticPr fontId="2" type="noConversion"/>
  </si>
  <si>
    <t>白蘿蔔</t>
    <phoneticPr fontId="2" type="noConversion"/>
  </si>
  <si>
    <t>客家小炒</t>
    <phoneticPr fontId="2" type="noConversion"/>
  </si>
  <si>
    <t>冬瓜滷肉</t>
    <phoneticPr fontId="2" type="noConversion"/>
  </si>
  <si>
    <t>豆醬瓠瓜</t>
    <phoneticPr fontId="2" type="noConversion"/>
  </si>
  <si>
    <t>凍豆腐</t>
    <phoneticPr fontId="2" type="noConversion"/>
  </si>
  <si>
    <t>冬瓜</t>
    <phoneticPr fontId="2" type="noConversion"/>
  </si>
  <si>
    <t>紅蘿蔔</t>
    <phoneticPr fontId="12" type="noConversion"/>
  </si>
  <si>
    <t>麵輪</t>
    <phoneticPr fontId="2" type="noConversion"/>
  </si>
  <si>
    <t>瓠瓜</t>
    <phoneticPr fontId="2" type="noConversion"/>
  </si>
  <si>
    <t>竹輪</t>
    <phoneticPr fontId="2" type="noConversion"/>
  </si>
  <si>
    <t>客家豆醬</t>
    <phoneticPr fontId="2" type="noConversion"/>
  </si>
  <si>
    <t>鮮菇肉片湯</t>
    <phoneticPr fontId="2" type="noConversion"/>
  </si>
  <si>
    <t>秀珍菇</t>
    <phoneticPr fontId="2" type="noConversion"/>
  </si>
  <si>
    <t>金針菇</t>
    <phoneticPr fontId="2" type="noConversion"/>
  </si>
  <si>
    <t>客家米苔目</t>
    <phoneticPr fontId="2" type="noConversion"/>
  </si>
  <si>
    <t>米苔目</t>
    <phoneticPr fontId="12" type="noConversion"/>
  </si>
  <si>
    <t>滷豬排</t>
    <phoneticPr fontId="2" type="noConversion"/>
  </si>
  <si>
    <t>調理肉排</t>
    <phoneticPr fontId="2" type="noConversion"/>
  </si>
  <si>
    <t>珍珠糯米丸</t>
    <phoneticPr fontId="2" type="noConversion"/>
  </si>
  <si>
    <t>珍珠丸</t>
    <phoneticPr fontId="2" type="noConversion"/>
  </si>
  <si>
    <t>五彩炒蛋</t>
    <phoneticPr fontId="2" type="noConversion"/>
  </si>
  <si>
    <t>洋芋</t>
    <phoneticPr fontId="2" type="noConversion"/>
  </si>
  <si>
    <t>韭菜</t>
    <phoneticPr fontId="2" type="noConversion"/>
  </si>
  <si>
    <t>木耳</t>
    <phoneticPr fontId="2" type="noConversion"/>
  </si>
  <si>
    <t>紅椒</t>
    <phoneticPr fontId="2" type="noConversion"/>
  </si>
  <si>
    <t>青椒</t>
    <phoneticPr fontId="2" type="noConversion"/>
  </si>
  <si>
    <t>黃椒</t>
    <phoneticPr fontId="2" type="noConversion"/>
  </si>
  <si>
    <t>客家米苔目</t>
    <phoneticPr fontId="2" type="noConversion"/>
  </si>
  <si>
    <t>香滷豬排</t>
    <phoneticPr fontId="2" type="noConversion"/>
  </si>
  <si>
    <t>五彩炒蛋</t>
    <phoneticPr fontId="2" type="noConversion"/>
  </si>
  <si>
    <t xml:space="preserve">  11月 大西葷食菜單 </t>
    <phoneticPr fontId="2" type="noConversion"/>
  </si>
  <si>
    <t>和峰食品 大西中央廚房 106學年度第1學期11月第一週午餐食材明細(葷食)</t>
    <phoneticPr fontId="2" type="noConversion"/>
  </si>
  <si>
    <t>優酪乳</t>
    <phoneticPr fontId="2" type="noConversion"/>
  </si>
  <si>
    <t>果汁</t>
    <phoneticPr fontId="2" type="noConversion"/>
  </si>
  <si>
    <t>鮮乳</t>
    <phoneticPr fontId="2" type="noConversion"/>
  </si>
  <si>
    <t>保久豆漿</t>
    <phoneticPr fontId="2" type="noConversion"/>
  </si>
  <si>
    <t>優酪乳</t>
    <phoneticPr fontId="2" type="noConversion"/>
  </si>
  <si>
    <t>鮮瓜豆腐燴蛋</t>
    <phoneticPr fontId="2" type="noConversion"/>
  </si>
  <si>
    <t>大黃瓜</t>
    <phoneticPr fontId="2" type="noConversion"/>
  </si>
  <si>
    <t>豆腐</t>
    <phoneticPr fontId="2" type="noConversion"/>
  </si>
  <si>
    <t>豆醬瓠瓜</t>
    <phoneticPr fontId="2" type="noConversion"/>
  </si>
  <si>
    <t>螞蟻上樹</t>
    <phoneticPr fontId="2" type="noConversion"/>
  </si>
  <si>
    <t>螞蟻上樹</t>
    <phoneticPr fontId="2" type="noConversion"/>
  </si>
  <si>
    <t>高麗菜</t>
    <phoneticPr fontId="2" type="noConversion"/>
  </si>
  <si>
    <t>紅蘿蔔</t>
    <phoneticPr fontId="2" type="noConversion"/>
  </si>
  <si>
    <t>絞肉</t>
    <phoneticPr fontId="2" type="noConversion"/>
  </si>
  <si>
    <t>木耳</t>
    <phoneticPr fontId="2" type="noConversion"/>
  </si>
  <si>
    <t>胡瓜(預計)</t>
    <phoneticPr fontId="2" type="noConversion"/>
  </si>
  <si>
    <t>家常寬粉</t>
    <phoneticPr fontId="2" type="noConversion"/>
  </si>
  <si>
    <t>白卜肉羹</t>
    <phoneticPr fontId="2" type="noConversion"/>
  </si>
  <si>
    <t>麵線</t>
    <phoneticPr fontId="2" type="noConversion"/>
  </si>
  <si>
    <t>洋蔥</t>
    <phoneticPr fontId="2" type="noConversion"/>
  </si>
  <si>
    <t>和峰食品 大西中央廚房 106學年度第1學期11月第二週午餐食材明細(葷食)</t>
    <phoneticPr fontId="2" type="noConversion"/>
  </si>
  <si>
    <t>和峰食品 大西中央廚房 106學年度第1學期11月第三週午餐食材明細(葷食)</t>
    <phoneticPr fontId="2" type="noConversion"/>
  </si>
  <si>
    <t>和峰食品 大西中央廚房 106學年度第1學期11月第四週午餐食材明細(葷食)</t>
    <phoneticPr fontId="2" type="noConversion"/>
  </si>
  <si>
    <t xml:space="preserve"> 和峰食品 大西中央廚房 106學年度第1學期11月第五週午餐食材明細(葷食)</t>
    <phoneticPr fontId="2" type="noConversion"/>
  </si>
  <si>
    <t>肉絲</t>
    <phoneticPr fontId="2" type="noConversion"/>
  </si>
  <si>
    <t>水果</t>
    <phoneticPr fontId="2" type="noConversion"/>
  </si>
  <si>
    <t>鮮蔬貢丸湯</t>
    <phoneticPr fontId="2" type="noConversion"/>
  </si>
  <si>
    <t>白菜蛋花湯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</si>
</sst>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"/>
    <numFmt numFmtId="177" formatCode="0.0_);[Red]\(0.0\)"/>
    <numFmt numFmtId="178" formatCode="0.0"/>
    <numFmt numFmtId="179" formatCode="#,##0.0_);[Red]\(#,##0.0\)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20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/>
    <xf numFmtId="0" fontId="1" fillId="0" borderId="0"/>
    <xf numFmtId="0" fontId="8" fillId="0" borderId="0">
      <alignment vertical="center"/>
    </xf>
  </cellStyleXfs>
  <cellXfs count="16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/>
    <xf numFmtId="177" fontId="5" fillId="0" borderId="0" xfId="0" applyNumberFormat="1" applyFont="1" applyBorder="1"/>
    <xf numFmtId="0" fontId="5" fillId="0" borderId="0" xfId="0" applyFont="1"/>
    <xf numFmtId="177" fontId="5" fillId="0" borderId="4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7" xfId="0" applyNumberFormat="1" applyFont="1" applyBorder="1" applyAlignment="1">
      <alignment horizontal="right" vertical="center" shrinkToFit="1"/>
    </xf>
    <xf numFmtId="177" fontId="5" fillId="0" borderId="8" xfId="0" applyNumberFormat="1" applyFont="1" applyBorder="1" applyAlignment="1">
      <alignment horizontal="right" vertical="center" shrinkToFit="1"/>
    </xf>
    <xf numFmtId="179" fontId="5" fillId="0" borderId="3" xfId="0" applyNumberFormat="1" applyFont="1" applyFill="1" applyBorder="1" applyAlignment="1">
      <alignment horizontal="left" vertical="center" shrinkToFit="1"/>
    </xf>
    <xf numFmtId="179" fontId="5" fillId="0" borderId="5" xfId="0" applyNumberFormat="1" applyFont="1" applyFill="1" applyBorder="1" applyAlignment="1">
      <alignment horizontal="right" vertical="center" shrinkToFit="1"/>
    </xf>
    <xf numFmtId="179" fontId="5" fillId="0" borderId="2" xfId="0" applyNumberFormat="1" applyFont="1" applyFill="1" applyBorder="1" applyAlignment="1">
      <alignment horizontal="left" vertical="center" shrinkToFit="1"/>
    </xf>
    <xf numFmtId="177" fontId="5" fillId="7" borderId="5" xfId="0" applyNumberFormat="1" applyFont="1" applyFill="1" applyBorder="1" applyAlignment="1">
      <alignment horizontal="right" vertical="center" shrinkToFit="1"/>
    </xf>
    <xf numFmtId="177" fontId="5" fillId="8" borderId="6" xfId="0" applyNumberFormat="1" applyFont="1" applyFill="1" applyBorder="1" applyAlignment="1">
      <alignment horizontal="right" vertical="center" shrinkToFit="1"/>
    </xf>
    <xf numFmtId="177" fontId="5" fillId="0" borderId="6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left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177" fontId="5" fillId="7" borderId="6" xfId="0" applyNumberFormat="1" applyFont="1" applyFill="1" applyBorder="1" applyAlignment="1">
      <alignment horizontal="right" vertical="center" shrinkToFit="1"/>
    </xf>
    <xf numFmtId="177" fontId="5" fillId="0" borderId="6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left" vertical="center" shrinkToFit="1"/>
    </xf>
    <xf numFmtId="177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177" fontId="5" fillId="0" borderId="0" xfId="0" applyNumberFormat="1" applyFont="1" applyBorder="1" applyAlignment="1"/>
    <xf numFmtId="177" fontId="5" fillId="0" borderId="0" xfId="0" applyNumberFormat="1" applyFont="1" applyBorder="1" applyAlignment="1">
      <alignment shrinkToFit="1"/>
    </xf>
    <xf numFmtId="0" fontId="5" fillId="3" borderId="1" xfId="0" applyFont="1" applyFill="1" applyBorder="1" applyAlignment="1">
      <alignment vertical="center" textRotation="255" wrapText="1"/>
    </xf>
    <xf numFmtId="177" fontId="5" fillId="0" borderId="0" xfId="0" applyNumberFormat="1" applyFont="1" applyBorder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0" fontId="5" fillId="0" borderId="2" xfId="0" applyFont="1" applyBorder="1"/>
    <xf numFmtId="0" fontId="5" fillId="0" borderId="0" xfId="0" applyFont="1" applyBorder="1" applyAlignment="1"/>
    <xf numFmtId="0" fontId="5" fillId="0" borderId="8" xfId="0" applyFont="1" applyBorder="1" applyAlignment="1"/>
    <xf numFmtId="177" fontId="5" fillId="0" borderId="4" xfId="0" applyNumberFormat="1" applyFont="1" applyFill="1" applyBorder="1" applyAlignment="1">
      <alignment vertical="center" shrinkToFit="1"/>
    </xf>
    <xf numFmtId="177" fontId="5" fillId="0" borderId="5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0" fontId="5" fillId="0" borderId="2" xfId="0" applyFont="1" applyFill="1" applyBorder="1"/>
    <xf numFmtId="177" fontId="5" fillId="0" borderId="6" xfId="0" applyNumberFormat="1" applyFont="1" applyFill="1" applyBorder="1" applyAlignment="1">
      <alignment vertical="center" shrinkToFit="1"/>
    </xf>
    <xf numFmtId="177" fontId="5" fillId="0" borderId="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7" fontId="5" fillId="8" borderId="5" xfId="0" applyNumberFormat="1" applyFont="1" applyFill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178" fontId="5" fillId="0" borderId="0" xfId="0" applyNumberFormat="1" applyFont="1" applyFill="1" applyBorder="1" applyAlignment="1"/>
    <xf numFmtId="177" fontId="5" fillId="3" borderId="1" xfId="0" applyNumberFormat="1" applyFont="1" applyFill="1" applyBorder="1" applyAlignment="1">
      <alignment vertical="center" textRotation="255" wrapText="1"/>
    </xf>
    <xf numFmtId="0" fontId="5" fillId="0" borderId="14" xfId="0" applyFont="1" applyBorder="1" applyAlignment="1">
      <alignment horizontal="center" vertical="center" shrinkToFit="1"/>
    </xf>
    <xf numFmtId="177" fontId="10" fillId="0" borderId="2" xfId="0" applyNumberFormat="1" applyFont="1" applyBorder="1" applyAlignment="1">
      <alignment horizontal="left" vertical="top"/>
    </xf>
    <xf numFmtId="177" fontId="5" fillId="0" borderId="6" xfId="0" applyNumberFormat="1" applyFont="1" applyBorder="1" applyAlignment="1"/>
    <xf numFmtId="177" fontId="5" fillId="0" borderId="8" xfId="0" applyNumberFormat="1" applyFont="1" applyBorder="1" applyAlignment="1"/>
    <xf numFmtId="177" fontId="5" fillId="0" borderId="2" xfId="0" applyNumberFormat="1" applyFont="1" applyBorder="1" applyAlignment="1">
      <alignment horizontal="left" vertical="top" shrinkToFit="1"/>
    </xf>
    <xf numFmtId="177" fontId="5" fillId="0" borderId="10" xfId="0" applyNumberFormat="1" applyFont="1" applyBorder="1" applyAlignment="1">
      <alignment horizontal="left" vertical="top" shrinkToFit="1"/>
    </xf>
    <xf numFmtId="177" fontId="5" fillId="0" borderId="9" xfId="0" applyNumberFormat="1" applyFont="1" applyBorder="1" applyAlignment="1"/>
    <xf numFmtId="177" fontId="5" fillId="0" borderId="11" xfId="0" applyNumberFormat="1" applyFont="1" applyBorder="1" applyAlignment="1"/>
    <xf numFmtId="177" fontId="5" fillId="0" borderId="15" xfId="0" applyNumberFormat="1" applyFont="1" applyBorder="1" applyAlignment="1"/>
    <xf numFmtId="0" fontId="5" fillId="0" borderId="0" xfId="0" applyFont="1" applyAlignment="1">
      <alignment wrapText="1"/>
    </xf>
    <xf numFmtId="177" fontId="5" fillId="0" borderId="0" xfId="0" applyNumberFormat="1" applyFont="1" applyAlignment="1"/>
    <xf numFmtId="0" fontId="5" fillId="0" borderId="0" xfId="0" applyFont="1" applyAlignment="1"/>
    <xf numFmtId="0" fontId="6" fillId="0" borderId="0" xfId="0" applyFont="1" applyBorder="1" applyAlignment="1">
      <alignment wrapText="1"/>
    </xf>
    <xf numFmtId="177" fontId="5" fillId="0" borderId="2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/>
    <xf numFmtId="177" fontId="5" fillId="0" borderId="10" xfId="0" applyNumberFormat="1" applyFont="1" applyFill="1" applyBorder="1" applyAlignment="1">
      <alignment horizontal="left" vertical="center" shrinkToFit="1"/>
    </xf>
    <xf numFmtId="178" fontId="5" fillId="7" borderId="5" xfId="0" applyNumberFormat="1" applyFont="1" applyFill="1" applyBorder="1" applyAlignment="1">
      <alignment horizontal="right"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right" vertical="center" shrinkToFit="1"/>
    </xf>
    <xf numFmtId="177" fontId="5" fillId="0" borderId="8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left" vertical="center" shrinkToFit="1"/>
    </xf>
    <xf numFmtId="177" fontId="5" fillId="0" borderId="15" xfId="0" applyNumberFormat="1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0" fontId="5" fillId="0" borderId="3" xfId="4" applyFont="1" applyBorder="1" applyAlignment="1">
      <alignment horizontal="left" vertical="center" shrinkToFit="1"/>
    </xf>
    <xf numFmtId="177" fontId="5" fillId="0" borderId="4" xfId="4" applyNumberFormat="1" applyFont="1" applyBorder="1" applyAlignment="1">
      <alignment horizontal="right" vertical="center" shrinkToFit="1"/>
    </xf>
    <xf numFmtId="176" fontId="3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7" fontId="5" fillId="0" borderId="2" xfId="0" applyNumberFormat="1" applyFont="1" applyBorder="1" applyAlignment="1"/>
    <xf numFmtId="0" fontId="5" fillId="0" borderId="0" xfId="0" applyFont="1" applyFill="1" applyBorder="1" applyAlignment="1">
      <alignment shrinkToFit="1"/>
    </xf>
    <xf numFmtId="177" fontId="5" fillId="0" borderId="0" xfId="0" applyNumberFormat="1" applyFont="1" applyFill="1" applyBorder="1"/>
    <xf numFmtId="0" fontId="5" fillId="0" borderId="12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/>
    <xf numFmtId="177" fontId="5" fillId="0" borderId="10" xfId="0" applyNumberFormat="1" applyFont="1" applyFill="1" applyBorder="1" applyAlignment="1"/>
    <xf numFmtId="0" fontId="5" fillId="0" borderId="0" xfId="0" applyFont="1" applyFill="1"/>
    <xf numFmtId="176" fontId="3" fillId="7" borderId="1" xfId="0" applyNumberFormat="1" applyFont="1" applyFill="1" applyBorder="1" applyAlignment="1">
      <alignment horizontal="center" vertical="center"/>
    </xf>
    <xf numFmtId="179" fontId="5" fillId="0" borderId="7" xfId="0" applyNumberFormat="1" applyFont="1" applyFill="1" applyBorder="1" applyAlignment="1">
      <alignment horizontal="right" vertical="center" shrinkToFit="1"/>
    </xf>
    <xf numFmtId="177" fontId="5" fillId="8" borderId="7" xfId="0" applyNumberFormat="1" applyFont="1" applyFill="1" applyBorder="1" applyAlignment="1">
      <alignment horizontal="right" vertical="center" shrinkToFit="1"/>
    </xf>
    <xf numFmtId="177" fontId="5" fillId="7" borderId="8" xfId="0" applyNumberFormat="1" applyFont="1" applyFill="1" applyBorder="1" applyAlignment="1">
      <alignment horizontal="right" vertical="center" shrinkToFit="1"/>
    </xf>
    <xf numFmtId="178" fontId="5" fillId="7" borderId="5" xfId="4" applyNumberFormat="1" applyFont="1" applyFill="1" applyBorder="1" applyAlignment="1">
      <alignment horizontal="right" vertical="center" shrinkToFit="1"/>
    </xf>
    <xf numFmtId="0" fontId="14" fillId="0" borderId="2" xfId="0" applyFont="1" applyBorder="1" applyAlignment="1">
      <alignment horizontal="lef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8" borderId="6" xfId="0" applyNumberFormat="1" applyFont="1" applyFill="1" applyBorder="1" applyAlignment="1">
      <alignment vertical="center" shrinkToFit="1"/>
    </xf>
    <xf numFmtId="177" fontId="5" fillId="7" borderId="6" xfId="0" applyNumberFormat="1" applyFont="1" applyFill="1" applyBorder="1" applyAlignment="1">
      <alignment vertical="center" shrinkToFit="1"/>
    </xf>
    <xf numFmtId="178" fontId="5" fillId="8" borderId="6" xfId="0" applyNumberFormat="1" applyFont="1" applyFill="1" applyBorder="1" applyAlignment="1"/>
    <xf numFmtId="178" fontId="5" fillId="0" borderId="10" xfId="0" applyNumberFormat="1" applyFont="1" applyFill="1" applyBorder="1" applyAlignment="1">
      <alignment horizontal="right" vertical="center" shrinkToFit="1"/>
    </xf>
    <xf numFmtId="177" fontId="5" fillId="0" borderId="3" xfId="0" applyNumberFormat="1" applyFont="1" applyFill="1" applyBorder="1" applyAlignment="1">
      <alignment horizontal="left" vertical="center" shrinkToFit="1"/>
    </xf>
    <xf numFmtId="177" fontId="5" fillId="8" borderId="6" xfId="4" applyNumberFormat="1" applyFont="1" applyFill="1" applyBorder="1" applyAlignment="1">
      <alignment horizontal="right" vertical="center" shrinkToFit="1"/>
    </xf>
    <xf numFmtId="177" fontId="5" fillId="0" borderId="6" xfId="4" applyNumberFormat="1" applyFont="1" applyFill="1" applyBorder="1" applyAlignment="1">
      <alignment horizontal="right" vertical="center" shrinkToFit="1"/>
    </xf>
    <xf numFmtId="177" fontId="5" fillId="8" borderId="2" xfId="0" applyNumberFormat="1" applyFont="1" applyFill="1" applyBorder="1" applyAlignment="1">
      <alignment vertical="center" shrinkToFit="1"/>
    </xf>
    <xf numFmtId="0" fontId="5" fillId="0" borderId="2" xfId="4" applyFont="1" applyBorder="1"/>
    <xf numFmtId="0" fontId="5" fillId="0" borderId="0" xfId="4" applyFont="1" applyBorder="1" applyAlignment="1"/>
    <xf numFmtId="0" fontId="5" fillId="0" borderId="6" xfId="4" applyFont="1" applyFill="1" applyBorder="1" applyAlignment="1"/>
    <xf numFmtId="17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shrinkToFit="1"/>
    </xf>
    <xf numFmtId="178" fontId="5" fillId="7" borderId="7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176" fontId="11" fillId="9" borderId="3" xfId="0" applyNumberFormat="1" applyFont="1" applyFill="1" applyBorder="1" applyAlignment="1">
      <alignment horizontal="center" vertical="center"/>
    </xf>
    <xf numFmtId="176" fontId="11" fillId="9" borderId="7" xfId="0" applyNumberFormat="1" applyFont="1" applyFill="1" applyBorder="1" applyAlignment="1">
      <alignment horizontal="center" vertical="center"/>
    </xf>
    <xf numFmtId="176" fontId="11" fillId="9" borderId="2" xfId="0" applyNumberFormat="1" applyFont="1" applyFill="1" applyBorder="1" applyAlignment="1">
      <alignment horizontal="center" vertical="center"/>
    </xf>
    <xf numFmtId="176" fontId="11" fillId="9" borderId="8" xfId="0" applyNumberFormat="1" applyFont="1" applyFill="1" applyBorder="1" applyAlignment="1">
      <alignment horizontal="center" vertical="center"/>
    </xf>
    <xf numFmtId="176" fontId="11" fillId="9" borderId="10" xfId="0" applyNumberFormat="1" applyFont="1" applyFill="1" applyBorder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0" fillId="0" borderId="0" xfId="0" applyAlignment="1"/>
    <xf numFmtId="177" fontId="10" fillId="0" borderId="2" xfId="0" applyNumberFormat="1" applyFont="1" applyBorder="1" applyAlignment="1">
      <alignment horizontal="center" vertical="top" wrapText="1" shrinkToFit="1"/>
    </xf>
    <xf numFmtId="177" fontId="5" fillId="0" borderId="9" xfId="0" applyNumberFormat="1" applyFont="1" applyBorder="1" applyAlignment="1">
      <alignment horizontal="center"/>
    </xf>
    <xf numFmtId="176" fontId="5" fillId="3" borderId="12" xfId="0" applyNumberFormat="1" applyFont="1" applyFill="1" applyBorder="1" applyAlignment="1">
      <alignment horizontal="center"/>
    </xf>
    <xf numFmtId="176" fontId="5" fillId="3" borderId="13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7" fontId="5" fillId="3" borderId="5" xfId="0" applyNumberFormat="1" applyFont="1" applyFill="1" applyBorder="1" applyAlignment="1">
      <alignment horizontal="center" vertical="center" wrapText="1"/>
    </xf>
    <xf numFmtId="177" fontId="5" fillId="3" borderId="6" xfId="0" applyNumberFormat="1" applyFont="1" applyFill="1" applyBorder="1" applyAlignment="1">
      <alignment horizontal="center" vertical="center" wrapText="1"/>
    </xf>
    <xf numFmtId="177" fontId="5" fillId="3" borderId="11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shrinkToFit="1"/>
    </xf>
    <xf numFmtId="179" fontId="5" fillId="0" borderId="8" xfId="0" applyNumberFormat="1" applyFont="1" applyFill="1" applyBorder="1" applyAlignment="1">
      <alignment horizontal="center" vertical="center" shrinkToFit="1"/>
    </xf>
  </cellXfs>
  <cellStyles count="7">
    <cellStyle name="一般" xfId="0" builtinId="0"/>
    <cellStyle name="一般 19" xfId="1"/>
    <cellStyle name="一般 2" xfId="2"/>
    <cellStyle name="一般 2 2" xfId="3"/>
    <cellStyle name="一般 36" xfId="6"/>
    <cellStyle name="一般 37" xfId="4"/>
    <cellStyle name="一般 6" xfId="5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4</xdr:row>
      <xdr:rowOff>56029</xdr:rowOff>
    </xdr:from>
    <xdr:to>
      <xdr:col>2</xdr:col>
      <xdr:colOff>1187823</xdr:colOff>
      <xdr:row>10</xdr:row>
      <xdr:rowOff>164653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8" y="918882"/>
          <a:ext cx="2364441" cy="158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22" zoomScale="150" zoomScaleNormal="150" zoomScaleSheetLayoutView="140" workbookViewId="0">
      <selection activeCell="C38" sqref="C38"/>
    </sheetView>
  </sheetViews>
  <sheetFormatPr defaultColWidth="9" defaultRowHeight="16.5"/>
  <cols>
    <col min="1" max="1" width="6.25" style="22" customWidth="1"/>
    <col min="2" max="6" width="16.375" style="22" customWidth="1"/>
    <col min="7" max="7" width="9" style="1" customWidth="1"/>
    <col min="8" max="16384" width="9" style="1"/>
  </cols>
  <sheetData>
    <row r="1" spans="1:6" ht="10.5" customHeight="1"/>
    <row r="2" spans="1:6" ht="27.75">
      <c r="A2" s="139" t="s">
        <v>356</v>
      </c>
      <c r="B2" s="139"/>
      <c r="C2" s="139"/>
      <c r="D2" s="139"/>
      <c r="E2" s="139"/>
      <c r="F2" s="139"/>
    </row>
    <row r="3" spans="1:6" ht="10.9" customHeight="1">
      <c r="A3" s="23"/>
      <c r="B3" s="99"/>
      <c r="C3" s="99"/>
      <c r="D3" s="99"/>
      <c r="E3" s="99"/>
      <c r="F3" s="99"/>
    </row>
    <row r="4" spans="1:6" ht="20.100000000000001" customHeight="1">
      <c r="A4" s="24"/>
      <c r="B4" s="24" t="s">
        <v>9</v>
      </c>
      <c r="C4" s="24" t="s">
        <v>10</v>
      </c>
      <c r="D4" s="24" t="s">
        <v>11</v>
      </c>
      <c r="E4" s="24" t="s">
        <v>12</v>
      </c>
      <c r="F4" s="24" t="s">
        <v>13</v>
      </c>
    </row>
    <row r="5" spans="1:6" ht="20.100000000000001" customHeight="1">
      <c r="A5" s="25" t="s">
        <v>14</v>
      </c>
      <c r="B5" s="142"/>
      <c r="C5" s="143"/>
      <c r="D5" s="26">
        <v>43040</v>
      </c>
      <c r="E5" s="26">
        <v>43041</v>
      </c>
      <c r="F5" s="26">
        <v>43042</v>
      </c>
    </row>
    <row r="6" spans="1:6" ht="20.100000000000001" customHeight="1">
      <c r="A6" s="27" t="s">
        <v>15</v>
      </c>
      <c r="B6" s="144"/>
      <c r="C6" s="145"/>
      <c r="D6" s="24" t="s">
        <v>181</v>
      </c>
      <c r="E6" s="2" t="s">
        <v>239</v>
      </c>
      <c r="F6" s="24" t="s">
        <v>182</v>
      </c>
    </row>
    <row r="7" spans="1:6" ht="20.100000000000001" customHeight="1">
      <c r="A7" s="25" t="s">
        <v>16</v>
      </c>
      <c r="B7" s="144"/>
      <c r="C7" s="145"/>
      <c r="D7" s="24" t="s">
        <v>43</v>
      </c>
      <c r="E7" s="132" t="s">
        <v>49</v>
      </c>
      <c r="F7" s="24" t="s">
        <v>59</v>
      </c>
    </row>
    <row r="8" spans="1:6" ht="20.100000000000001" customHeight="1">
      <c r="A8" s="27" t="s">
        <v>17</v>
      </c>
      <c r="B8" s="144"/>
      <c r="C8" s="145"/>
      <c r="D8" s="24" t="s">
        <v>183</v>
      </c>
      <c r="E8" s="24" t="s">
        <v>53</v>
      </c>
      <c r="F8" s="24" t="s">
        <v>234</v>
      </c>
    </row>
    <row r="9" spans="1:6" ht="20.100000000000001" customHeight="1">
      <c r="A9" s="25" t="s">
        <v>18</v>
      </c>
      <c r="B9" s="144"/>
      <c r="C9" s="145"/>
      <c r="D9" s="24" t="s">
        <v>57</v>
      </c>
      <c r="E9" s="24" t="s">
        <v>57</v>
      </c>
      <c r="F9" s="24" t="s">
        <v>57</v>
      </c>
    </row>
    <row r="10" spans="1:6" ht="20.100000000000001" customHeight="1">
      <c r="A10" s="25" t="s">
        <v>19</v>
      </c>
      <c r="B10" s="144"/>
      <c r="C10" s="145"/>
      <c r="D10" s="2" t="s">
        <v>225</v>
      </c>
      <c r="E10" s="2" t="s">
        <v>199</v>
      </c>
      <c r="F10" s="2" t="s">
        <v>235</v>
      </c>
    </row>
    <row r="11" spans="1:6" ht="20.100000000000001" customHeight="1">
      <c r="A11" s="25" t="s">
        <v>20</v>
      </c>
      <c r="B11" s="146"/>
      <c r="C11" s="147"/>
      <c r="D11" s="24"/>
      <c r="E11" s="98" t="s">
        <v>249</v>
      </c>
      <c r="F11" s="98"/>
    </row>
    <row r="12" spans="1:6" ht="20.100000000000001" customHeight="1">
      <c r="A12" s="28" t="s">
        <v>14</v>
      </c>
      <c r="B12" s="29">
        <v>43045</v>
      </c>
      <c r="C12" s="29">
        <v>43046</v>
      </c>
      <c r="D12" s="29">
        <v>43047</v>
      </c>
      <c r="E12" s="29">
        <v>43048</v>
      </c>
      <c r="F12" s="29">
        <v>43049</v>
      </c>
    </row>
    <row r="13" spans="1:6" ht="20.100000000000001" customHeight="1">
      <c r="A13" s="30" t="s">
        <v>15</v>
      </c>
      <c r="B13" s="2" t="s">
        <v>37</v>
      </c>
      <c r="C13" s="2" t="s">
        <v>72</v>
      </c>
      <c r="D13" s="2" t="s">
        <v>254</v>
      </c>
      <c r="E13" s="2" t="s">
        <v>239</v>
      </c>
      <c r="F13" s="88" t="s">
        <v>253</v>
      </c>
    </row>
    <row r="14" spans="1:6" ht="20.100000000000001" customHeight="1">
      <c r="A14" s="28" t="s">
        <v>16</v>
      </c>
      <c r="B14" s="24" t="s">
        <v>65</v>
      </c>
      <c r="C14" s="24" t="s">
        <v>242</v>
      </c>
      <c r="D14" s="24" t="s">
        <v>261</v>
      </c>
      <c r="E14" s="24" t="s">
        <v>269</v>
      </c>
      <c r="F14" s="24" t="s">
        <v>93</v>
      </c>
    </row>
    <row r="15" spans="1:6" ht="20.100000000000001" customHeight="1">
      <c r="A15" s="30" t="s">
        <v>17</v>
      </c>
      <c r="B15" s="24" t="s">
        <v>240</v>
      </c>
      <c r="C15" s="2" t="s">
        <v>366</v>
      </c>
      <c r="D15" s="2" t="s">
        <v>263</v>
      </c>
      <c r="E15" s="2" t="s">
        <v>367</v>
      </c>
      <c r="F15" s="88" t="s">
        <v>95</v>
      </c>
    </row>
    <row r="16" spans="1:6" ht="20.100000000000001" customHeight="1">
      <c r="A16" s="28" t="s">
        <v>18</v>
      </c>
      <c r="B16" s="2" t="s">
        <v>57</v>
      </c>
      <c r="C16" s="2" t="s">
        <v>57</v>
      </c>
      <c r="D16" s="2" t="s">
        <v>57</v>
      </c>
      <c r="E16" s="2" t="s">
        <v>57</v>
      </c>
      <c r="F16" s="88" t="s">
        <v>46</v>
      </c>
    </row>
    <row r="17" spans="1:6" ht="20.100000000000001" customHeight="1">
      <c r="A17" s="28" t="s">
        <v>19</v>
      </c>
      <c r="B17" s="2" t="s">
        <v>186</v>
      </c>
      <c r="C17" s="2" t="s">
        <v>245</v>
      </c>
      <c r="D17" s="2" t="s">
        <v>265</v>
      </c>
      <c r="E17" s="2" t="s">
        <v>187</v>
      </c>
      <c r="F17" s="88" t="s">
        <v>276</v>
      </c>
    </row>
    <row r="18" spans="1:6" ht="20.100000000000001" customHeight="1">
      <c r="A18" s="28" t="s">
        <v>20</v>
      </c>
      <c r="B18" s="100"/>
      <c r="C18" s="100" t="s">
        <v>248</v>
      </c>
      <c r="D18" s="98"/>
      <c r="E18" s="22" t="s">
        <v>250</v>
      </c>
      <c r="F18" s="98"/>
    </row>
    <row r="19" spans="1:6" ht="20.100000000000001" customHeight="1">
      <c r="A19" s="31" t="s">
        <v>14</v>
      </c>
      <c r="B19" s="32">
        <v>43052</v>
      </c>
      <c r="C19" s="32">
        <v>43053</v>
      </c>
      <c r="D19" s="32">
        <v>43054</v>
      </c>
      <c r="E19" s="32">
        <v>43055</v>
      </c>
      <c r="F19" s="32">
        <v>43056</v>
      </c>
    </row>
    <row r="20" spans="1:6" ht="20.100000000000001" customHeight="1">
      <c r="A20" s="33" t="s">
        <v>15</v>
      </c>
      <c r="B20" s="2" t="s">
        <v>184</v>
      </c>
      <c r="C20" s="2" t="s">
        <v>185</v>
      </c>
      <c r="D20" s="2" t="s">
        <v>289</v>
      </c>
      <c r="E20" s="2" t="s">
        <v>239</v>
      </c>
      <c r="F20" s="88" t="s">
        <v>275</v>
      </c>
    </row>
    <row r="21" spans="1:6" ht="20.100000000000001" customHeight="1">
      <c r="A21" s="31" t="s">
        <v>16</v>
      </c>
      <c r="B21" s="24" t="s">
        <v>98</v>
      </c>
      <c r="C21" s="24" t="s">
        <v>281</v>
      </c>
      <c r="D21" s="24" t="s">
        <v>288</v>
      </c>
      <c r="E21" s="100" t="s">
        <v>293</v>
      </c>
      <c r="F21" s="100" t="s">
        <v>300</v>
      </c>
    </row>
    <row r="22" spans="1:6" ht="20.100000000000001" customHeight="1">
      <c r="A22" s="33" t="s">
        <v>17</v>
      </c>
      <c r="B22" s="2" t="s">
        <v>279</v>
      </c>
      <c r="C22" s="24" t="s">
        <v>106</v>
      </c>
      <c r="D22" s="2" t="s">
        <v>284</v>
      </c>
      <c r="E22" s="2" t="s">
        <v>375</v>
      </c>
      <c r="F22" s="88" t="s">
        <v>115</v>
      </c>
    </row>
    <row r="23" spans="1:6" ht="20.100000000000001" customHeight="1">
      <c r="A23" s="31" t="s">
        <v>18</v>
      </c>
      <c r="B23" s="2" t="s">
        <v>57</v>
      </c>
      <c r="C23" s="2" t="s">
        <v>57</v>
      </c>
      <c r="D23" s="2" t="s">
        <v>57</v>
      </c>
      <c r="E23" s="2" t="s">
        <v>57</v>
      </c>
      <c r="F23" s="88" t="s">
        <v>46</v>
      </c>
    </row>
    <row r="24" spans="1:6" ht="20.100000000000001" customHeight="1">
      <c r="A24" s="31" t="s">
        <v>19</v>
      </c>
      <c r="B24" s="2" t="s">
        <v>280</v>
      </c>
      <c r="C24" s="2" t="s">
        <v>108</v>
      </c>
      <c r="D24" s="2" t="s">
        <v>283</v>
      </c>
      <c r="E24" s="2" t="s">
        <v>214</v>
      </c>
      <c r="F24" s="88" t="s">
        <v>117</v>
      </c>
    </row>
    <row r="25" spans="1:6" ht="20.100000000000001" customHeight="1">
      <c r="A25" s="31" t="s">
        <v>20</v>
      </c>
      <c r="B25" s="98"/>
      <c r="C25" s="98" t="s">
        <v>248</v>
      </c>
      <c r="D25" s="98"/>
      <c r="E25" s="98" t="s">
        <v>251</v>
      </c>
      <c r="F25" s="98"/>
    </row>
    <row r="26" spans="1:6" ht="20.100000000000001" customHeight="1">
      <c r="A26" s="34" t="s">
        <v>14</v>
      </c>
      <c r="B26" s="35">
        <v>43059</v>
      </c>
      <c r="C26" s="35">
        <v>43060</v>
      </c>
      <c r="D26" s="35">
        <v>43061</v>
      </c>
      <c r="E26" s="35">
        <v>43062</v>
      </c>
      <c r="F26" s="35">
        <v>43063</v>
      </c>
    </row>
    <row r="27" spans="1:6" ht="20.100000000000001" customHeight="1">
      <c r="A27" s="36" t="s">
        <v>15</v>
      </c>
      <c r="B27" s="2" t="s">
        <v>37</v>
      </c>
      <c r="C27" s="2" t="s">
        <v>72</v>
      </c>
      <c r="D27" s="2" t="s">
        <v>317</v>
      </c>
      <c r="E27" s="2" t="s">
        <v>239</v>
      </c>
      <c r="F27" s="2" t="s">
        <v>28</v>
      </c>
    </row>
    <row r="28" spans="1:6" ht="20.100000000000001" customHeight="1">
      <c r="A28" s="34" t="s">
        <v>16</v>
      </c>
      <c r="B28" s="100" t="s">
        <v>121</v>
      </c>
      <c r="C28" s="24" t="s">
        <v>126</v>
      </c>
      <c r="D28" s="24" t="s">
        <v>33</v>
      </c>
      <c r="E28" s="24" t="s">
        <v>31</v>
      </c>
      <c r="F28" s="24" t="s">
        <v>325</v>
      </c>
    </row>
    <row r="29" spans="1:6" ht="20.100000000000001" customHeight="1">
      <c r="A29" s="36" t="s">
        <v>17</v>
      </c>
      <c r="B29" s="103" t="s">
        <v>305</v>
      </c>
      <c r="C29" s="22" t="s">
        <v>129</v>
      </c>
      <c r="D29" s="2" t="s">
        <v>32</v>
      </c>
      <c r="E29" s="24" t="s">
        <v>363</v>
      </c>
      <c r="F29" s="88" t="s">
        <v>196</v>
      </c>
    </row>
    <row r="30" spans="1:6" ht="20.100000000000001" customHeight="1">
      <c r="A30" s="34" t="s">
        <v>18</v>
      </c>
      <c r="B30" s="2" t="s">
        <v>23</v>
      </c>
      <c r="C30" s="2" t="s">
        <v>23</v>
      </c>
      <c r="D30" s="2" t="s">
        <v>23</v>
      </c>
      <c r="E30" s="2" t="s">
        <v>23</v>
      </c>
      <c r="F30" s="2" t="s">
        <v>23</v>
      </c>
    </row>
    <row r="31" spans="1:6" ht="20.100000000000001" customHeight="1">
      <c r="A31" s="34" t="s">
        <v>19</v>
      </c>
      <c r="B31" s="101" t="s">
        <v>306</v>
      </c>
      <c r="C31" s="101" t="s">
        <v>385</v>
      </c>
      <c r="D31" s="101" t="s">
        <v>231</v>
      </c>
      <c r="E31" s="2" t="s">
        <v>318</v>
      </c>
      <c r="F31" s="2" t="s">
        <v>29</v>
      </c>
    </row>
    <row r="32" spans="1:6" ht="20.100000000000001" customHeight="1">
      <c r="A32" s="34" t="s">
        <v>20</v>
      </c>
      <c r="B32" s="98"/>
      <c r="C32" s="98" t="s">
        <v>248</v>
      </c>
      <c r="D32" s="98"/>
      <c r="E32" s="98" t="s">
        <v>252</v>
      </c>
      <c r="F32" s="98"/>
    </row>
    <row r="33" spans="1:6" ht="20.100000000000001" customHeight="1">
      <c r="A33" s="37" t="s">
        <v>14</v>
      </c>
      <c r="B33" s="38">
        <v>43066</v>
      </c>
      <c r="C33" s="38">
        <v>43067</v>
      </c>
      <c r="D33" s="38">
        <v>43068</v>
      </c>
      <c r="E33" s="38">
        <v>43069</v>
      </c>
      <c r="F33" s="38" t="s">
        <v>233</v>
      </c>
    </row>
    <row r="34" spans="1:6" ht="20.100000000000001" customHeight="1">
      <c r="A34" s="39" t="s">
        <v>15</v>
      </c>
      <c r="B34" s="2" t="s">
        <v>22</v>
      </c>
      <c r="C34" s="2" t="s">
        <v>26</v>
      </c>
      <c r="D34" s="2" t="s">
        <v>353</v>
      </c>
      <c r="E34" s="2" t="s">
        <v>239</v>
      </c>
      <c r="F34" s="148" t="s">
        <v>232</v>
      </c>
    </row>
    <row r="35" spans="1:6" ht="20.100000000000001" customHeight="1">
      <c r="A35" s="37" t="s">
        <v>16</v>
      </c>
      <c r="B35" s="24" t="s">
        <v>35</v>
      </c>
      <c r="C35" s="24" t="s">
        <v>328</v>
      </c>
      <c r="D35" s="24" t="s">
        <v>354</v>
      </c>
      <c r="E35" s="24" t="s">
        <v>30</v>
      </c>
      <c r="F35" s="149"/>
    </row>
    <row r="36" spans="1:6" ht="20.100000000000001" customHeight="1">
      <c r="A36" s="39" t="s">
        <v>17</v>
      </c>
      <c r="B36" s="103" t="s">
        <v>86</v>
      </c>
      <c r="C36" s="103" t="s">
        <v>374</v>
      </c>
      <c r="D36" s="24" t="s">
        <v>344</v>
      </c>
      <c r="E36" s="24" t="s">
        <v>355</v>
      </c>
      <c r="F36" s="149"/>
    </row>
    <row r="37" spans="1:6" ht="20.100000000000001" customHeight="1">
      <c r="A37" s="37" t="s">
        <v>18</v>
      </c>
      <c r="B37" s="2" t="s">
        <v>23</v>
      </c>
      <c r="C37" s="2" t="s">
        <v>23</v>
      </c>
      <c r="D37" s="2" t="s">
        <v>23</v>
      </c>
      <c r="E37" s="2" t="s">
        <v>23</v>
      </c>
      <c r="F37" s="149"/>
    </row>
    <row r="38" spans="1:6" ht="20.100000000000001" customHeight="1">
      <c r="A38" s="37" t="s">
        <v>19</v>
      </c>
      <c r="B38" s="2" t="s">
        <v>384</v>
      </c>
      <c r="C38" s="24" t="s">
        <v>337</v>
      </c>
      <c r="D38" s="2" t="s">
        <v>34</v>
      </c>
      <c r="E38" s="22" t="s">
        <v>221</v>
      </c>
      <c r="F38" s="149"/>
    </row>
    <row r="39" spans="1:6" ht="20.100000000000001" customHeight="1">
      <c r="A39" s="37" t="s">
        <v>20</v>
      </c>
      <c r="B39" s="98"/>
      <c r="C39" s="98" t="s">
        <v>248</v>
      </c>
      <c r="E39" s="100" t="s">
        <v>249</v>
      </c>
      <c r="F39" s="150"/>
    </row>
    <row r="40" spans="1:6" ht="27.75" customHeight="1">
      <c r="B40" s="140" t="s">
        <v>21</v>
      </c>
      <c r="C40" s="140"/>
      <c r="D40" s="140"/>
      <c r="E40" s="140"/>
      <c r="F40" s="140"/>
    </row>
    <row r="41" spans="1:6">
      <c r="A41" s="141" t="s">
        <v>27</v>
      </c>
      <c r="B41" s="141"/>
      <c r="C41" s="141"/>
      <c r="D41" s="141"/>
      <c r="E41" s="141"/>
      <c r="F41" s="141"/>
    </row>
    <row r="43" spans="1:6" ht="16.5" customHeight="1"/>
    <row r="44" spans="1:6" ht="16.5" customHeight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</sheetData>
  <mergeCells count="5">
    <mergeCell ref="A2:F2"/>
    <mergeCell ref="B40:F40"/>
    <mergeCell ref="A41:F41"/>
    <mergeCell ref="B5:C11"/>
    <mergeCell ref="F34:F39"/>
  </mergeCells>
  <phoneticPr fontId="2" type="noConversion"/>
  <printOptions horizontalCentered="1" verticalCentered="1"/>
  <pageMargins left="0.47244094488188981" right="0.62992125984251968" top="0.31496062992125984" bottom="0.35433070866141736" header="0.23622047244094491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U56"/>
  <sheetViews>
    <sheetView tabSelected="1" view="pageBreakPreview" topLeftCell="A28" zoomScaleNormal="85" zoomScaleSheetLayoutView="100" workbookViewId="0">
      <selection activeCell="W50" sqref="W50"/>
    </sheetView>
  </sheetViews>
  <sheetFormatPr defaultColWidth="9" defaultRowHeight="19.5"/>
  <cols>
    <col min="1" max="1" width="0.75" style="5" customWidth="1"/>
    <col min="2" max="2" width="7.625" style="79" customWidth="1"/>
    <col min="3" max="3" width="9.5" style="5" customWidth="1"/>
    <col min="4" max="4" width="9.5" style="77" customWidth="1"/>
    <col min="5" max="5" width="11.5" style="77" hidden="1" customWidth="1"/>
    <col min="6" max="6" width="9.5" style="5" customWidth="1"/>
    <col min="7" max="7" width="9.5" style="77" customWidth="1"/>
    <col min="8" max="8" width="11.5" style="77" hidden="1" customWidth="1"/>
    <col min="9" max="9" width="9.5" style="5" customWidth="1"/>
    <col min="10" max="10" width="9.5" style="77" customWidth="1"/>
    <col min="11" max="11" width="11.5" style="77" hidden="1" customWidth="1"/>
    <col min="12" max="12" width="9" style="112" hidden="1" customWidth="1"/>
    <col min="13" max="13" width="9.5" style="5" customWidth="1"/>
    <col min="14" max="14" width="9.5" style="78" customWidth="1"/>
    <col min="15" max="15" width="9" style="5" hidden="1" customWidth="1"/>
    <col min="16" max="16" width="9" style="112" hidden="1" customWidth="1"/>
    <col min="17" max="17" width="9.5" style="5" customWidth="1"/>
    <col min="18" max="18" width="9.5" style="78" customWidth="1"/>
    <col min="19" max="19" width="9" style="5" hidden="1" customWidth="1"/>
    <col min="20" max="20" width="9" style="112" hidden="1" customWidth="1"/>
    <col min="21" max="16384" width="9" style="5"/>
  </cols>
  <sheetData>
    <row r="1" spans="2:20" s="3" customFormat="1">
      <c r="B1" s="151" t="s">
        <v>357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2"/>
      <c r="R1" s="152"/>
      <c r="S1" s="43"/>
      <c r="T1" s="105"/>
    </row>
    <row r="2" spans="2:20" s="3" customFormat="1" ht="18.75" customHeight="1">
      <c r="B2" s="20" t="s">
        <v>0</v>
      </c>
      <c r="C2" s="4"/>
      <c r="D2" s="44"/>
      <c r="E2" s="44"/>
      <c r="F2" s="154"/>
      <c r="G2" s="154"/>
      <c r="H2" s="44"/>
      <c r="I2" s="4"/>
      <c r="J2" s="44"/>
      <c r="K2" s="44"/>
      <c r="L2" s="106"/>
      <c r="M2" s="42"/>
      <c r="N2" s="45"/>
      <c r="O2" s="4"/>
      <c r="P2" s="106"/>
      <c r="Q2" s="42"/>
      <c r="R2" s="45"/>
      <c r="S2" s="4"/>
      <c r="T2" s="106"/>
    </row>
    <row r="3" spans="2:20" ht="21" customHeight="1">
      <c r="B3" s="46" t="s">
        <v>1</v>
      </c>
      <c r="C3" s="155"/>
      <c r="D3" s="156"/>
      <c r="E3" s="87"/>
      <c r="F3" s="155"/>
      <c r="G3" s="156"/>
      <c r="H3" s="87"/>
      <c r="I3" s="155">
        <v>43040</v>
      </c>
      <c r="J3" s="156"/>
      <c r="K3" s="87"/>
      <c r="L3" s="107"/>
      <c r="M3" s="155">
        <v>43041</v>
      </c>
      <c r="N3" s="156"/>
      <c r="O3" s="87"/>
      <c r="P3" s="107"/>
      <c r="Q3" s="155">
        <v>43042</v>
      </c>
      <c r="R3" s="156"/>
      <c r="S3" s="87"/>
      <c r="T3" s="107"/>
    </row>
    <row r="4" spans="2:20" ht="19.5" customHeight="1">
      <c r="B4" s="159" t="s">
        <v>15</v>
      </c>
      <c r="C4" s="157"/>
      <c r="D4" s="160"/>
      <c r="E4" s="88"/>
      <c r="F4" s="157"/>
      <c r="G4" s="160"/>
      <c r="H4" s="88"/>
      <c r="I4" s="157" t="s">
        <v>39</v>
      </c>
      <c r="J4" s="160"/>
      <c r="K4" s="88"/>
      <c r="L4" s="101"/>
      <c r="M4" s="157" t="s">
        <v>239</v>
      </c>
      <c r="N4" s="160"/>
      <c r="O4" s="88"/>
      <c r="P4" s="101"/>
      <c r="Q4" s="157" t="s">
        <v>58</v>
      </c>
      <c r="R4" s="160"/>
      <c r="S4" s="88"/>
      <c r="T4" s="101"/>
    </row>
    <row r="5" spans="2:20" ht="19.5" customHeight="1">
      <c r="B5" s="159"/>
      <c r="C5" s="41"/>
      <c r="D5" s="85"/>
      <c r="E5" s="89"/>
      <c r="F5" s="41"/>
      <c r="G5" s="85"/>
      <c r="H5" s="89"/>
      <c r="I5" s="21" t="s">
        <v>134</v>
      </c>
      <c r="J5" s="54">
        <v>80</v>
      </c>
      <c r="K5" s="83">
        <f>J5/20</f>
        <v>4</v>
      </c>
      <c r="L5" s="108">
        <f>J5*1950/1000</f>
        <v>156</v>
      </c>
      <c r="M5" s="21" t="s">
        <v>134</v>
      </c>
      <c r="N5" s="85">
        <v>85</v>
      </c>
      <c r="O5" s="83">
        <f t="shared" ref="O5:O6" si="0">N5/20</f>
        <v>4.25</v>
      </c>
      <c r="P5" s="108">
        <f>N5*1950/1000</f>
        <v>165.75</v>
      </c>
      <c r="Q5" s="21" t="s">
        <v>134</v>
      </c>
      <c r="R5" s="85">
        <v>80</v>
      </c>
      <c r="S5" s="83">
        <f>R5/20</f>
        <v>4</v>
      </c>
      <c r="T5" s="108">
        <f>R5*1950/1000</f>
        <v>156</v>
      </c>
    </row>
    <row r="6" spans="2:20" ht="19.5" customHeight="1">
      <c r="B6" s="159"/>
      <c r="C6" s="21"/>
      <c r="D6" s="57"/>
      <c r="E6" s="89"/>
      <c r="F6" s="21"/>
      <c r="G6" s="57"/>
      <c r="H6" s="80"/>
      <c r="I6" s="21" t="s">
        <v>40</v>
      </c>
      <c r="J6" s="54">
        <v>15</v>
      </c>
      <c r="K6" s="63">
        <f t="shared" ref="K6:K8" si="1">J6/100</f>
        <v>0.15</v>
      </c>
      <c r="L6" s="108">
        <f t="shared" ref="L6:L44" si="2">J6*1950/1000</f>
        <v>29.25</v>
      </c>
      <c r="M6" s="21"/>
      <c r="N6" s="57"/>
      <c r="O6" s="83">
        <f t="shared" si="0"/>
        <v>0</v>
      </c>
      <c r="P6" s="108">
        <f t="shared" ref="P6:P44" si="3">N6*1950/1000</f>
        <v>0</v>
      </c>
      <c r="Q6" s="21" t="s">
        <v>143</v>
      </c>
      <c r="R6" s="57">
        <v>0.5</v>
      </c>
      <c r="S6" s="89"/>
      <c r="T6" s="108">
        <f t="shared" ref="T6:T44" si="4">R6*1950/1000</f>
        <v>0.97499999999999998</v>
      </c>
    </row>
    <row r="7" spans="2:20" ht="19.5" customHeight="1">
      <c r="B7" s="159"/>
      <c r="C7" s="61"/>
      <c r="D7" s="57"/>
      <c r="E7" s="56"/>
      <c r="F7" s="61"/>
      <c r="G7" s="57"/>
      <c r="H7" s="56"/>
      <c r="I7" s="61" t="s">
        <v>41</v>
      </c>
      <c r="J7" s="54">
        <v>30</v>
      </c>
      <c r="K7" s="63">
        <f t="shared" si="1"/>
        <v>0.3</v>
      </c>
      <c r="L7" s="108">
        <f t="shared" si="2"/>
        <v>58.5</v>
      </c>
      <c r="M7" s="61"/>
      <c r="N7" s="57"/>
      <c r="O7" s="56"/>
      <c r="P7" s="108">
        <f t="shared" si="3"/>
        <v>0</v>
      </c>
      <c r="Q7" s="61"/>
      <c r="R7" s="57"/>
      <c r="S7" s="56"/>
      <c r="T7" s="108">
        <f t="shared" si="4"/>
        <v>0</v>
      </c>
    </row>
    <row r="8" spans="2:20" ht="19.5" customHeight="1">
      <c r="B8" s="159"/>
      <c r="C8" s="17"/>
      <c r="D8" s="48"/>
      <c r="E8" s="56"/>
      <c r="F8" s="17"/>
      <c r="G8" s="48"/>
      <c r="H8" s="56"/>
      <c r="I8" s="17" t="s">
        <v>42</v>
      </c>
      <c r="J8" s="54">
        <v>0.5</v>
      </c>
      <c r="K8" s="63">
        <f t="shared" si="1"/>
        <v>5.0000000000000001E-3</v>
      </c>
      <c r="L8" s="108">
        <f t="shared" si="2"/>
        <v>0.97499999999999998</v>
      </c>
      <c r="M8" s="17"/>
      <c r="N8" s="48"/>
      <c r="O8" s="56"/>
      <c r="P8" s="108">
        <f t="shared" si="3"/>
        <v>0</v>
      </c>
      <c r="Q8" s="17"/>
      <c r="R8" s="48"/>
      <c r="S8" s="56"/>
      <c r="T8" s="108">
        <f t="shared" si="4"/>
        <v>0</v>
      </c>
    </row>
    <row r="9" spans="2:20" ht="19.5" customHeight="1">
      <c r="B9" s="159"/>
      <c r="C9" s="49"/>
      <c r="D9" s="51"/>
      <c r="E9" s="59"/>
      <c r="F9" s="49"/>
      <c r="G9" s="51"/>
      <c r="H9" s="59"/>
      <c r="I9" s="49" t="s">
        <v>131</v>
      </c>
      <c r="J9" s="54">
        <v>10</v>
      </c>
      <c r="K9" s="59">
        <f>J9/35</f>
        <v>0.2857142857142857</v>
      </c>
      <c r="L9" s="108">
        <f t="shared" si="2"/>
        <v>19.5</v>
      </c>
      <c r="M9" s="49"/>
      <c r="N9" s="51"/>
      <c r="O9" s="59"/>
      <c r="P9" s="108">
        <f t="shared" si="3"/>
        <v>0</v>
      </c>
      <c r="Q9" s="49"/>
      <c r="R9" s="51"/>
      <c r="S9" s="59"/>
      <c r="T9" s="108">
        <f t="shared" si="4"/>
        <v>0</v>
      </c>
    </row>
    <row r="10" spans="2:20">
      <c r="B10" s="159"/>
      <c r="C10" s="49"/>
      <c r="D10" s="51"/>
      <c r="E10" s="59"/>
      <c r="F10" s="49"/>
      <c r="G10" s="51"/>
      <c r="H10" s="59"/>
      <c r="I10" s="49" t="s">
        <v>136</v>
      </c>
      <c r="J10" s="54">
        <v>3</v>
      </c>
      <c r="K10" s="63">
        <f t="shared" ref="K10" si="5">J10/100</f>
        <v>0.03</v>
      </c>
      <c r="L10" s="108">
        <f t="shared" si="2"/>
        <v>5.85</v>
      </c>
      <c r="M10" s="49"/>
      <c r="N10" s="51"/>
      <c r="O10" s="59"/>
      <c r="P10" s="108">
        <f t="shared" si="3"/>
        <v>0</v>
      </c>
      <c r="Q10" s="49"/>
      <c r="R10" s="51"/>
      <c r="S10" s="59"/>
      <c r="T10" s="108">
        <f t="shared" si="4"/>
        <v>0</v>
      </c>
    </row>
    <row r="11" spans="2:20">
      <c r="B11" s="159"/>
      <c r="C11" s="49"/>
      <c r="D11" s="51"/>
      <c r="E11" s="59"/>
      <c r="F11" s="49"/>
      <c r="G11" s="51"/>
      <c r="H11" s="59"/>
      <c r="I11" s="49"/>
      <c r="J11" s="50"/>
      <c r="K11" s="59"/>
      <c r="L11" s="108">
        <f t="shared" si="2"/>
        <v>0</v>
      </c>
      <c r="M11" s="49"/>
      <c r="N11" s="51"/>
      <c r="O11" s="59"/>
      <c r="P11" s="108">
        <f t="shared" si="3"/>
        <v>0</v>
      </c>
      <c r="Q11" s="49"/>
      <c r="R11" s="51"/>
      <c r="S11" s="59"/>
      <c r="T11" s="108">
        <f t="shared" si="4"/>
        <v>0</v>
      </c>
    </row>
    <row r="12" spans="2:20">
      <c r="B12" s="159"/>
      <c r="C12" s="49"/>
      <c r="D12" s="51"/>
      <c r="E12" s="81"/>
      <c r="F12" s="49"/>
      <c r="G12" s="51"/>
      <c r="H12" s="59"/>
      <c r="I12" s="49"/>
      <c r="J12" s="50"/>
      <c r="K12" s="59"/>
      <c r="L12" s="108">
        <f t="shared" si="2"/>
        <v>0</v>
      </c>
      <c r="M12" s="49"/>
      <c r="N12" s="51"/>
      <c r="O12" s="81"/>
      <c r="P12" s="108">
        <f t="shared" si="3"/>
        <v>0</v>
      </c>
      <c r="Q12" s="49"/>
      <c r="R12" s="51"/>
      <c r="S12" s="81"/>
      <c r="T12" s="108">
        <f t="shared" si="4"/>
        <v>0</v>
      </c>
    </row>
    <row r="13" spans="2:20">
      <c r="B13" s="159" t="s">
        <v>16</v>
      </c>
      <c r="C13" s="157"/>
      <c r="D13" s="160"/>
      <c r="E13" s="88"/>
      <c r="F13" s="157"/>
      <c r="G13" s="160"/>
      <c r="H13" s="102"/>
      <c r="I13" s="157" t="s">
        <v>44</v>
      </c>
      <c r="J13" s="160"/>
      <c r="K13" s="91"/>
      <c r="L13" s="108">
        <f t="shared" si="2"/>
        <v>0</v>
      </c>
      <c r="M13" s="157" t="s">
        <v>50</v>
      </c>
      <c r="N13" s="160"/>
      <c r="O13" s="88"/>
      <c r="P13" s="108">
        <f t="shared" si="3"/>
        <v>0</v>
      </c>
      <c r="Q13" s="157" t="s">
        <v>60</v>
      </c>
      <c r="R13" s="160"/>
      <c r="S13" s="88"/>
      <c r="T13" s="108">
        <f t="shared" si="4"/>
        <v>0</v>
      </c>
    </row>
    <row r="14" spans="2:20">
      <c r="B14" s="159"/>
      <c r="C14" s="10"/>
      <c r="D14" s="85"/>
      <c r="E14" s="11"/>
      <c r="F14" s="10"/>
      <c r="G14" s="85"/>
      <c r="H14" s="53"/>
      <c r="I14" s="10" t="s">
        <v>130</v>
      </c>
      <c r="J14" s="52">
        <v>120</v>
      </c>
      <c r="K14" s="53">
        <f>J14*0.7/40</f>
        <v>2.1</v>
      </c>
      <c r="L14" s="108">
        <f t="shared" si="2"/>
        <v>234</v>
      </c>
      <c r="M14" s="10" t="s">
        <v>142</v>
      </c>
      <c r="N14" s="85">
        <v>100</v>
      </c>
      <c r="O14" s="11">
        <f>N14*0.7*0.5/30</f>
        <v>1.1666666666666667</v>
      </c>
      <c r="P14" s="108">
        <f t="shared" si="3"/>
        <v>195</v>
      </c>
      <c r="Q14" s="10" t="s">
        <v>61</v>
      </c>
      <c r="R14" s="85">
        <v>60</v>
      </c>
      <c r="S14" s="11">
        <f>R14/35</f>
        <v>1.7142857142857142</v>
      </c>
      <c r="T14" s="108">
        <f t="shared" si="4"/>
        <v>117</v>
      </c>
    </row>
    <row r="15" spans="2:20">
      <c r="B15" s="159"/>
      <c r="C15" s="12"/>
      <c r="D15" s="57"/>
      <c r="E15" s="19"/>
      <c r="F15" s="12"/>
      <c r="G15" s="57"/>
      <c r="H15" s="19"/>
      <c r="I15" s="12"/>
      <c r="J15" s="54"/>
      <c r="K15" s="19"/>
      <c r="L15" s="108">
        <f t="shared" si="2"/>
        <v>0</v>
      </c>
      <c r="M15" s="12" t="s">
        <v>132</v>
      </c>
      <c r="N15" s="57">
        <v>35</v>
      </c>
      <c r="O15" s="14">
        <f t="shared" ref="O15:O16" si="6">N15/100</f>
        <v>0.35</v>
      </c>
      <c r="P15" s="108">
        <f t="shared" si="3"/>
        <v>68.25</v>
      </c>
      <c r="Q15" s="12" t="s">
        <v>144</v>
      </c>
      <c r="R15" s="57">
        <v>10</v>
      </c>
      <c r="S15" s="19">
        <f>R15/40</f>
        <v>0.25</v>
      </c>
      <c r="T15" s="108">
        <f>R15*1950/1000</f>
        <v>19.5</v>
      </c>
    </row>
    <row r="16" spans="2:20">
      <c r="B16" s="159"/>
      <c r="C16" s="12"/>
      <c r="D16" s="57"/>
      <c r="E16" s="19"/>
      <c r="F16" s="12"/>
      <c r="G16" s="57"/>
      <c r="H16" s="19"/>
      <c r="I16" s="12"/>
      <c r="J16" s="54"/>
      <c r="K16" s="19"/>
      <c r="L16" s="108">
        <f t="shared" si="2"/>
        <v>0</v>
      </c>
      <c r="M16" s="12" t="s">
        <v>52</v>
      </c>
      <c r="N16" s="57">
        <v>1</v>
      </c>
      <c r="O16" s="14">
        <f t="shared" si="6"/>
        <v>0.01</v>
      </c>
      <c r="P16" s="108">
        <f t="shared" si="3"/>
        <v>1.95</v>
      </c>
      <c r="Q16" s="12" t="s">
        <v>51</v>
      </c>
      <c r="R16" s="57">
        <v>35</v>
      </c>
      <c r="S16" s="14">
        <f t="shared" ref="S16:S17" si="7">R16/100</f>
        <v>0.35</v>
      </c>
      <c r="T16" s="108">
        <f>R16*1950/1000</f>
        <v>68.25</v>
      </c>
    </row>
    <row r="17" spans="2:21">
      <c r="B17" s="159"/>
      <c r="C17" s="12"/>
      <c r="D17" s="57"/>
      <c r="E17" s="19"/>
      <c r="F17" s="12"/>
      <c r="G17" s="57"/>
      <c r="H17" s="19"/>
      <c r="I17" s="12"/>
      <c r="J17" s="54"/>
      <c r="K17" s="19"/>
      <c r="L17" s="108">
        <f>J17*1950/1000</f>
        <v>0</v>
      </c>
      <c r="M17" s="12" t="s">
        <v>56</v>
      </c>
      <c r="N17" s="57">
        <v>2</v>
      </c>
      <c r="O17" s="14">
        <f>N17/100</f>
        <v>0.02</v>
      </c>
      <c r="P17" s="108">
        <f>N17*1950/1000</f>
        <v>3.9</v>
      </c>
      <c r="Q17" s="12" t="s">
        <v>135</v>
      </c>
      <c r="R17" s="57">
        <v>3</v>
      </c>
      <c r="S17" s="14">
        <f t="shared" si="7"/>
        <v>0.03</v>
      </c>
      <c r="T17" s="108">
        <f>R17*1950/1000</f>
        <v>5.85</v>
      </c>
    </row>
    <row r="18" spans="2:21" ht="19.5" customHeight="1">
      <c r="B18" s="159"/>
      <c r="C18" s="55"/>
      <c r="D18" s="57"/>
      <c r="E18" s="56"/>
      <c r="F18" s="55"/>
      <c r="G18" s="57"/>
      <c r="H18" s="56"/>
      <c r="I18" s="55"/>
      <c r="J18" s="54"/>
      <c r="K18" s="56"/>
      <c r="L18" s="108">
        <f>J18*1950/1000</f>
        <v>0</v>
      </c>
      <c r="M18" s="12"/>
      <c r="N18" s="57"/>
      <c r="O18" s="56"/>
      <c r="P18" s="108">
        <f>N18*1950/1000</f>
        <v>0</v>
      </c>
      <c r="Q18" s="55"/>
      <c r="R18" s="57"/>
      <c r="S18" s="56"/>
      <c r="T18" s="108">
        <f>R18*1950/1000</f>
        <v>0</v>
      </c>
    </row>
    <row r="19" spans="2:21">
      <c r="B19" s="159"/>
      <c r="C19" s="55"/>
      <c r="D19" s="60"/>
      <c r="E19" s="59"/>
      <c r="F19" s="55"/>
      <c r="G19" s="60"/>
      <c r="H19" s="59"/>
      <c r="I19" s="55"/>
      <c r="J19" s="58"/>
      <c r="K19" s="59"/>
      <c r="L19" s="108">
        <f t="shared" si="2"/>
        <v>0</v>
      </c>
      <c r="M19" s="55"/>
      <c r="N19" s="60"/>
      <c r="O19" s="59"/>
      <c r="P19" s="108">
        <f t="shared" si="3"/>
        <v>0</v>
      </c>
      <c r="Q19" s="55"/>
      <c r="R19" s="60"/>
      <c r="S19" s="59"/>
      <c r="T19" s="108">
        <f t="shared" si="4"/>
        <v>0</v>
      </c>
    </row>
    <row r="20" spans="2:21">
      <c r="B20" s="159"/>
      <c r="C20" s="55"/>
      <c r="D20" s="60"/>
      <c r="E20" s="59"/>
      <c r="F20" s="55"/>
      <c r="G20" s="60"/>
      <c r="H20" s="59"/>
      <c r="I20" s="55"/>
      <c r="J20" s="58"/>
      <c r="K20" s="59"/>
      <c r="L20" s="108">
        <f t="shared" si="2"/>
        <v>0</v>
      </c>
      <c r="M20" s="55"/>
      <c r="N20" s="60"/>
      <c r="O20" s="59"/>
      <c r="P20" s="108">
        <f t="shared" si="3"/>
        <v>0</v>
      </c>
      <c r="Q20" s="55"/>
      <c r="R20" s="60"/>
      <c r="S20" s="59"/>
      <c r="T20" s="108">
        <f t="shared" si="4"/>
        <v>0</v>
      </c>
    </row>
    <row r="21" spans="2:21">
      <c r="B21" s="159"/>
      <c r="C21" s="61"/>
      <c r="D21" s="57"/>
      <c r="E21" s="56">
        <f>D14+D15+D16+D17+D18+D19+D20</f>
        <v>0</v>
      </c>
      <c r="F21" s="61"/>
      <c r="G21" s="57"/>
      <c r="H21" s="56">
        <f>G14+G15+G16+G17+G18+G19+G20</f>
        <v>0</v>
      </c>
      <c r="I21" s="61"/>
      <c r="J21" s="54"/>
      <c r="K21" s="56">
        <f>J14+J15+J16+J17+J18+J19+J20</f>
        <v>120</v>
      </c>
      <c r="L21" s="108">
        <f t="shared" si="2"/>
        <v>0</v>
      </c>
      <c r="M21" s="61"/>
      <c r="N21" s="57"/>
      <c r="O21" s="56">
        <f>N14+N15+N16+N17+N18+N19+N20</f>
        <v>138</v>
      </c>
      <c r="P21" s="108">
        <f t="shared" si="3"/>
        <v>0</v>
      </c>
      <c r="Q21" s="61"/>
      <c r="R21" s="57"/>
      <c r="S21" s="56">
        <f>R14+R15+R16+R17+R18+R19+R20</f>
        <v>108</v>
      </c>
      <c r="T21" s="108">
        <f t="shared" si="4"/>
        <v>0</v>
      </c>
    </row>
    <row r="22" spans="2:21">
      <c r="B22" s="159" t="s">
        <v>17</v>
      </c>
      <c r="C22" s="157"/>
      <c r="D22" s="160"/>
      <c r="E22" s="88"/>
      <c r="F22" s="157"/>
      <c r="G22" s="160"/>
      <c r="H22" s="102"/>
      <c r="I22" s="157" t="s">
        <v>45</v>
      </c>
      <c r="J22" s="160"/>
      <c r="K22" s="91"/>
      <c r="L22" s="108">
        <f t="shared" si="2"/>
        <v>0</v>
      </c>
      <c r="M22" s="157" t="s">
        <v>54</v>
      </c>
      <c r="N22" s="160"/>
      <c r="O22" s="113"/>
      <c r="P22" s="108">
        <f t="shared" si="3"/>
        <v>0</v>
      </c>
      <c r="Q22" s="157" t="s">
        <v>234</v>
      </c>
      <c r="R22" s="160"/>
      <c r="S22" s="88"/>
      <c r="T22" s="108">
        <f t="shared" si="4"/>
        <v>0</v>
      </c>
    </row>
    <row r="23" spans="2:21">
      <c r="B23" s="159"/>
      <c r="C23" s="10"/>
      <c r="D23" s="62"/>
      <c r="E23" s="40"/>
      <c r="F23" s="10"/>
      <c r="G23" s="62"/>
      <c r="H23" s="19"/>
      <c r="I23" s="10" t="s">
        <v>45</v>
      </c>
      <c r="J23" s="62">
        <v>20</v>
      </c>
      <c r="K23" s="18">
        <f>J23/20</f>
        <v>1</v>
      </c>
      <c r="L23" s="108">
        <f t="shared" si="2"/>
        <v>39</v>
      </c>
      <c r="M23" s="10" t="s">
        <v>55</v>
      </c>
      <c r="N23" s="62">
        <v>23</v>
      </c>
      <c r="O23" s="13">
        <f>N23/55</f>
        <v>0.41818181818181815</v>
      </c>
      <c r="P23" s="108">
        <f t="shared" si="3"/>
        <v>44.85</v>
      </c>
      <c r="Q23" s="10" t="s">
        <v>62</v>
      </c>
      <c r="R23" s="62">
        <v>60</v>
      </c>
      <c r="S23" s="14">
        <f t="shared" ref="S23:S26" si="8">R23/100</f>
        <v>0.6</v>
      </c>
      <c r="T23" s="108">
        <f t="shared" si="4"/>
        <v>117</v>
      </c>
    </row>
    <row r="24" spans="2:21">
      <c r="B24" s="159"/>
      <c r="C24" s="12"/>
      <c r="D24" s="57"/>
      <c r="E24" s="40"/>
      <c r="F24" s="12"/>
      <c r="G24" s="57"/>
      <c r="H24" s="58"/>
      <c r="I24" s="55"/>
      <c r="J24" s="57"/>
      <c r="K24" s="58"/>
      <c r="L24" s="108">
        <f t="shared" si="2"/>
        <v>0</v>
      </c>
      <c r="M24" s="12" t="s">
        <v>140</v>
      </c>
      <c r="N24" s="57">
        <v>7</v>
      </c>
      <c r="O24" s="14">
        <f t="shared" ref="O24" si="9">N24/100</f>
        <v>7.0000000000000007E-2</v>
      </c>
      <c r="P24" s="108">
        <f t="shared" si="3"/>
        <v>13.65</v>
      </c>
      <c r="Q24" s="12" t="s">
        <v>146</v>
      </c>
      <c r="R24" s="57">
        <v>0.2</v>
      </c>
      <c r="S24" s="14">
        <f t="shared" si="8"/>
        <v>2E-3</v>
      </c>
      <c r="T24" s="108">
        <f t="shared" si="4"/>
        <v>0.39</v>
      </c>
    </row>
    <row r="25" spans="2:21">
      <c r="B25" s="159"/>
      <c r="C25" s="12"/>
      <c r="D25" s="57"/>
      <c r="E25" s="19"/>
      <c r="F25" s="12"/>
      <c r="G25" s="57"/>
      <c r="H25" s="19"/>
      <c r="I25" s="12"/>
      <c r="J25" s="54"/>
      <c r="K25" s="19"/>
      <c r="L25" s="108">
        <f t="shared" si="2"/>
        <v>0</v>
      </c>
      <c r="M25" s="12" t="s">
        <v>139</v>
      </c>
      <c r="N25" s="57">
        <v>45</v>
      </c>
      <c r="O25" s="19">
        <f>N25/60</f>
        <v>0.75</v>
      </c>
      <c r="P25" s="108">
        <f t="shared" si="3"/>
        <v>87.75</v>
      </c>
      <c r="Q25" s="12" t="s">
        <v>237</v>
      </c>
      <c r="R25" s="57">
        <v>10</v>
      </c>
      <c r="S25" s="19">
        <f>R25/60</f>
        <v>0.16666666666666666</v>
      </c>
      <c r="T25" s="108">
        <f t="shared" si="4"/>
        <v>19.5</v>
      </c>
      <c r="U25" s="5" t="s">
        <v>145</v>
      </c>
    </row>
    <row r="26" spans="2:21">
      <c r="B26" s="159"/>
      <c r="C26" s="12"/>
      <c r="D26" s="57"/>
      <c r="E26" s="40"/>
      <c r="F26" s="12"/>
      <c r="G26" s="57"/>
      <c r="H26" s="19"/>
      <c r="I26" s="12"/>
      <c r="J26" s="54"/>
      <c r="K26" s="19"/>
      <c r="L26" s="108">
        <f t="shared" si="2"/>
        <v>0</v>
      </c>
      <c r="M26" s="12" t="s">
        <v>141</v>
      </c>
      <c r="N26" s="57">
        <v>1.5</v>
      </c>
      <c r="O26" s="14">
        <f t="shared" ref="O26" si="10">N26/100</f>
        <v>1.4999999999999999E-2</v>
      </c>
      <c r="P26" s="108">
        <f t="shared" si="3"/>
        <v>2.9249999999999998</v>
      </c>
      <c r="Q26" s="12" t="s">
        <v>56</v>
      </c>
      <c r="R26" s="57">
        <v>3</v>
      </c>
      <c r="S26" s="14">
        <f t="shared" si="8"/>
        <v>0.03</v>
      </c>
      <c r="T26" s="108">
        <f t="shared" si="4"/>
        <v>5.85</v>
      </c>
    </row>
    <row r="27" spans="2:21" ht="20.25" customHeight="1">
      <c r="B27" s="159"/>
      <c r="C27" s="55"/>
      <c r="D27" s="57"/>
      <c r="E27" s="56"/>
      <c r="F27" s="55"/>
      <c r="G27" s="57"/>
      <c r="H27" s="58"/>
      <c r="I27" s="55"/>
      <c r="J27" s="57"/>
      <c r="K27" s="58"/>
      <c r="L27" s="108">
        <f t="shared" si="2"/>
        <v>0</v>
      </c>
      <c r="M27" s="55"/>
      <c r="N27" s="57"/>
      <c r="O27" s="56"/>
      <c r="P27" s="108">
        <f t="shared" si="3"/>
        <v>0</v>
      </c>
      <c r="Q27" s="55" t="s">
        <v>238</v>
      </c>
      <c r="R27" s="57">
        <v>10</v>
      </c>
      <c r="S27" s="56"/>
      <c r="T27" s="108">
        <f t="shared" si="4"/>
        <v>19.5</v>
      </c>
    </row>
    <row r="28" spans="2:21">
      <c r="B28" s="159"/>
      <c r="C28" s="55"/>
      <c r="D28" s="60"/>
      <c r="E28" s="59"/>
      <c r="F28" s="55"/>
      <c r="G28" s="60"/>
      <c r="H28" s="60"/>
      <c r="I28" s="55"/>
      <c r="J28" s="60"/>
      <c r="K28" s="60"/>
      <c r="L28" s="108">
        <f t="shared" si="2"/>
        <v>0</v>
      </c>
      <c r="M28" s="55"/>
      <c r="N28" s="60"/>
      <c r="O28" s="59"/>
      <c r="P28" s="108">
        <f t="shared" si="3"/>
        <v>0</v>
      </c>
      <c r="Q28" s="55"/>
      <c r="R28" s="60"/>
      <c r="S28" s="59"/>
      <c r="T28" s="108">
        <f t="shared" si="4"/>
        <v>0</v>
      </c>
    </row>
    <row r="29" spans="2:21">
      <c r="B29" s="159"/>
      <c r="C29" s="61"/>
      <c r="D29" s="57"/>
      <c r="E29" s="56"/>
      <c r="F29" s="61"/>
      <c r="G29" s="57"/>
      <c r="H29" s="57"/>
      <c r="I29" s="61"/>
      <c r="J29" s="57"/>
      <c r="K29" s="57"/>
      <c r="L29" s="108">
        <f t="shared" si="2"/>
        <v>0</v>
      </c>
      <c r="M29" s="61"/>
      <c r="N29" s="57"/>
      <c r="O29" s="56"/>
      <c r="P29" s="108">
        <f t="shared" si="3"/>
        <v>0</v>
      </c>
      <c r="Q29" s="61"/>
      <c r="R29" s="57"/>
      <c r="S29" s="56"/>
      <c r="T29" s="108">
        <f t="shared" si="4"/>
        <v>0</v>
      </c>
    </row>
    <row r="30" spans="2:21">
      <c r="B30" s="159"/>
      <c r="C30" s="61"/>
      <c r="D30" s="57"/>
      <c r="E30" s="56"/>
      <c r="F30" s="61"/>
      <c r="G30" s="57"/>
      <c r="H30" s="57"/>
      <c r="I30" s="82"/>
      <c r="J30" s="84"/>
      <c r="K30" s="57"/>
      <c r="L30" s="108">
        <f t="shared" si="2"/>
        <v>0</v>
      </c>
      <c r="M30" s="61"/>
      <c r="N30" s="57"/>
      <c r="O30" s="56"/>
      <c r="P30" s="108">
        <f t="shared" si="3"/>
        <v>0</v>
      </c>
      <c r="Q30" s="61"/>
      <c r="R30" s="57"/>
      <c r="S30" s="56"/>
      <c r="T30" s="108">
        <f t="shared" si="4"/>
        <v>0</v>
      </c>
    </row>
    <row r="31" spans="2:21" ht="24" customHeight="1">
      <c r="B31" s="159" t="s">
        <v>18</v>
      </c>
      <c r="C31" s="157"/>
      <c r="D31" s="158"/>
      <c r="E31" s="86"/>
      <c r="F31" s="157"/>
      <c r="G31" s="158"/>
      <c r="H31" s="86"/>
      <c r="I31" s="157" t="s">
        <v>46</v>
      </c>
      <c r="J31" s="158"/>
      <c r="K31" s="86"/>
      <c r="L31" s="108">
        <f t="shared" si="2"/>
        <v>0</v>
      </c>
      <c r="M31" s="157" t="s">
        <v>46</v>
      </c>
      <c r="N31" s="158"/>
      <c r="O31" s="86"/>
      <c r="P31" s="108">
        <f t="shared" si="3"/>
        <v>0</v>
      </c>
      <c r="Q31" s="157" t="s">
        <v>46</v>
      </c>
      <c r="R31" s="158"/>
      <c r="S31" s="86"/>
      <c r="T31" s="108">
        <f t="shared" si="4"/>
        <v>0</v>
      </c>
    </row>
    <row r="32" spans="2:21">
      <c r="B32" s="159"/>
      <c r="C32" s="16"/>
      <c r="D32" s="6"/>
      <c r="E32" s="63">
        <f t="shared" ref="E32:E34" si="11">D32/100</f>
        <v>0</v>
      </c>
      <c r="F32" s="16"/>
      <c r="G32" s="6"/>
      <c r="H32" s="63">
        <f t="shared" ref="H32:H34" si="12">G32/100</f>
        <v>0</v>
      </c>
      <c r="I32" s="16" t="s">
        <v>47</v>
      </c>
      <c r="J32" s="6">
        <v>60</v>
      </c>
      <c r="K32" s="63">
        <f t="shared" ref="K32:K34" si="13">J32/100</f>
        <v>0.6</v>
      </c>
      <c r="L32" s="108">
        <f t="shared" si="2"/>
        <v>117</v>
      </c>
      <c r="M32" s="16" t="s">
        <v>47</v>
      </c>
      <c r="N32" s="6">
        <v>60</v>
      </c>
      <c r="O32" s="63">
        <f t="shared" ref="O32:O34" si="14">N32/100</f>
        <v>0.6</v>
      </c>
      <c r="P32" s="108">
        <f t="shared" si="3"/>
        <v>117</v>
      </c>
      <c r="Q32" s="16" t="s">
        <v>47</v>
      </c>
      <c r="R32" s="6">
        <v>60</v>
      </c>
      <c r="S32" s="63">
        <f t="shared" ref="S32:S34" si="15">R32/100</f>
        <v>0.6</v>
      </c>
      <c r="T32" s="108">
        <f t="shared" si="4"/>
        <v>117</v>
      </c>
    </row>
    <row r="33" spans="2:20">
      <c r="B33" s="159"/>
      <c r="C33" s="17"/>
      <c r="D33" s="7"/>
      <c r="E33" s="14">
        <f t="shared" si="11"/>
        <v>0</v>
      </c>
      <c r="F33" s="17"/>
      <c r="G33" s="7"/>
      <c r="H33" s="14">
        <f t="shared" si="12"/>
        <v>0</v>
      </c>
      <c r="I33" s="17" t="s">
        <v>138</v>
      </c>
      <c r="J33" s="7">
        <v>0.5</v>
      </c>
      <c r="K33" s="14">
        <f t="shared" si="13"/>
        <v>5.0000000000000001E-3</v>
      </c>
      <c r="L33" s="108">
        <f t="shared" si="2"/>
        <v>0.97499999999999998</v>
      </c>
      <c r="M33" s="17" t="s">
        <v>138</v>
      </c>
      <c r="N33" s="7">
        <v>0.5</v>
      </c>
      <c r="O33" s="14">
        <f t="shared" si="14"/>
        <v>5.0000000000000001E-3</v>
      </c>
      <c r="P33" s="108">
        <f t="shared" si="3"/>
        <v>0.97499999999999998</v>
      </c>
      <c r="Q33" s="17" t="s">
        <v>138</v>
      </c>
      <c r="R33" s="7">
        <v>0.5</v>
      </c>
      <c r="S33" s="14">
        <f t="shared" si="15"/>
        <v>5.0000000000000001E-3</v>
      </c>
      <c r="T33" s="108">
        <f t="shared" si="4"/>
        <v>0.97499999999999998</v>
      </c>
    </row>
    <row r="34" spans="2:20">
      <c r="B34" s="159"/>
      <c r="C34" s="17"/>
      <c r="D34" s="7"/>
      <c r="E34" s="14">
        <f t="shared" si="11"/>
        <v>0</v>
      </c>
      <c r="F34" s="17"/>
      <c r="G34" s="7"/>
      <c r="H34" s="14">
        <f t="shared" si="12"/>
        <v>0</v>
      </c>
      <c r="I34" s="17" t="s">
        <v>137</v>
      </c>
      <c r="J34" s="7">
        <v>0.5</v>
      </c>
      <c r="K34" s="14">
        <f t="shared" si="13"/>
        <v>5.0000000000000001E-3</v>
      </c>
      <c r="L34" s="108">
        <f t="shared" si="2"/>
        <v>0.97499999999999998</v>
      </c>
      <c r="M34" s="17" t="s">
        <v>137</v>
      </c>
      <c r="N34" s="7">
        <v>0.5</v>
      </c>
      <c r="O34" s="14">
        <f t="shared" si="14"/>
        <v>5.0000000000000001E-3</v>
      </c>
      <c r="P34" s="108">
        <f t="shared" si="3"/>
        <v>0.97499999999999998</v>
      </c>
      <c r="Q34" s="17" t="s">
        <v>137</v>
      </c>
      <c r="R34" s="7">
        <v>0.5</v>
      </c>
      <c r="S34" s="14">
        <f t="shared" si="15"/>
        <v>5.0000000000000001E-3</v>
      </c>
      <c r="T34" s="108">
        <f t="shared" si="4"/>
        <v>0.97499999999999998</v>
      </c>
    </row>
    <row r="35" spans="2:20">
      <c r="B35" s="159"/>
      <c r="C35" s="17"/>
      <c r="D35" s="9"/>
      <c r="E35" s="15"/>
      <c r="F35" s="17"/>
      <c r="G35" s="9"/>
      <c r="H35" s="15"/>
      <c r="I35" s="17"/>
      <c r="J35" s="7"/>
      <c r="K35" s="15"/>
      <c r="L35" s="108">
        <f t="shared" si="2"/>
        <v>0</v>
      </c>
      <c r="M35" s="17"/>
      <c r="N35" s="9"/>
      <c r="O35" s="15"/>
      <c r="P35" s="108">
        <f t="shared" si="3"/>
        <v>0</v>
      </c>
      <c r="Q35" s="17"/>
      <c r="R35" s="9"/>
      <c r="S35" s="15"/>
      <c r="T35" s="108">
        <f t="shared" si="4"/>
        <v>0</v>
      </c>
    </row>
    <row r="36" spans="2:20" ht="24" customHeight="1">
      <c r="B36" s="159"/>
      <c r="C36" s="17"/>
      <c r="D36" s="9"/>
      <c r="E36" s="64"/>
      <c r="F36" s="17"/>
      <c r="G36" s="9"/>
      <c r="H36" s="64"/>
      <c r="I36" s="17"/>
      <c r="J36" s="7"/>
      <c r="K36" s="64"/>
      <c r="L36" s="108">
        <f t="shared" si="2"/>
        <v>0</v>
      </c>
      <c r="M36" s="17"/>
      <c r="N36" s="9"/>
      <c r="O36" s="64"/>
      <c r="P36" s="108">
        <f t="shared" si="3"/>
        <v>0</v>
      </c>
      <c r="Q36" s="17"/>
      <c r="R36" s="9"/>
      <c r="S36" s="64"/>
      <c r="T36" s="108">
        <f t="shared" si="4"/>
        <v>0</v>
      </c>
    </row>
    <row r="37" spans="2:20">
      <c r="B37" s="159" t="s">
        <v>2</v>
      </c>
      <c r="C37" s="157"/>
      <c r="D37" s="160"/>
      <c r="E37" s="102"/>
      <c r="F37" s="157"/>
      <c r="G37" s="160"/>
      <c r="H37" s="102"/>
      <c r="I37" s="157" t="s">
        <v>225</v>
      </c>
      <c r="J37" s="160"/>
      <c r="K37" s="91"/>
      <c r="L37" s="108">
        <f t="shared" si="2"/>
        <v>0</v>
      </c>
      <c r="M37" s="157" t="s">
        <v>224</v>
      </c>
      <c r="N37" s="160"/>
      <c r="O37" s="88"/>
      <c r="P37" s="108">
        <f t="shared" si="3"/>
        <v>0</v>
      </c>
      <c r="Q37" s="157" t="s">
        <v>63</v>
      </c>
      <c r="R37" s="160"/>
      <c r="S37" s="102"/>
      <c r="T37" s="108">
        <f t="shared" si="4"/>
        <v>0</v>
      </c>
    </row>
    <row r="38" spans="2:20">
      <c r="B38" s="159"/>
      <c r="C38" s="10"/>
      <c r="D38" s="52"/>
      <c r="E38" s="19"/>
      <c r="F38" s="10"/>
      <c r="G38" s="52"/>
      <c r="H38" s="19"/>
      <c r="I38" s="10" t="s">
        <v>48</v>
      </c>
      <c r="J38" s="52">
        <v>10</v>
      </c>
      <c r="K38" s="19"/>
      <c r="L38" s="108">
        <f t="shared" si="2"/>
        <v>19.5</v>
      </c>
      <c r="M38" s="10" t="s">
        <v>216</v>
      </c>
      <c r="N38" s="52">
        <v>20</v>
      </c>
      <c r="O38" s="19">
        <f>N38/120</f>
        <v>0.16666666666666666</v>
      </c>
      <c r="P38" s="108">
        <f t="shared" si="3"/>
        <v>39</v>
      </c>
      <c r="Q38" s="10" t="s">
        <v>64</v>
      </c>
      <c r="R38" s="52">
        <v>20</v>
      </c>
      <c r="S38" s="18">
        <f>R38/20</f>
        <v>1</v>
      </c>
      <c r="T38" s="108">
        <f t="shared" si="4"/>
        <v>39</v>
      </c>
    </row>
    <row r="39" spans="2:20">
      <c r="B39" s="159"/>
      <c r="C39" s="12"/>
      <c r="D39" s="54"/>
      <c r="E39" s="19"/>
      <c r="F39" s="12"/>
      <c r="G39" s="54"/>
      <c r="H39" s="19"/>
      <c r="I39" s="12" t="s">
        <v>132</v>
      </c>
      <c r="J39" s="54">
        <v>20</v>
      </c>
      <c r="K39" s="63">
        <f t="shared" ref="K39:K41" si="16">J39/100</f>
        <v>0.2</v>
      </c>
      <c r="L39" s="108">
        <f t="shared" si="2"/>
        <v>39</v>
      </c>
      <c r="M39" s="12" t="s">
        <v>160</v>
      </c>
      <c r="N39" s="54">
        <v>8</v>
      </c>
      <c r="O39" s="19">
        <f>N39/55</f>
        <v>0.14545454545454545</v>
      </c>
      <c r="P39" s="108">
        <f t="shared" si="3"/>
        <v>15.6</v>
      </c>
      <c r="Q39" s="12" t="s">
        <v>236</v>
      </c>
      <c r="R39" s="54">
        <v>20</v>
      </c>
      <c r="S39" s="19"/>
      <c r="T39" s="108">
        <f t="shared" si="4"/>
        <v>39</v>
      </c>
    </row>
    <row r="40" spans="2:20">
      <c r="B40" s="159"/>
      <c r="C40" s="12"/>
      <c r="D40" s="54"/>
      <c r="E40" s="19"/>
      <c r="F40" s="12"/>
      <c r="G40" s="54"/>
      <c r="H40" s="19"/>
      <c r="I40" s="12" t="s">
        <v>56</v>
      </c>
      <c r="J40" s="54">
        <v>3</v>
      </c>
      <c r="K40" s="63">
        <f t="shared" si="16"/>
        <v>0.03</v>
      </c>
      <c r="L40" s="108">
        <f t="shared" si="2"/>
        <v>5.85</v>
      </c>
      <c r="M40" s="12" t="s">
        <v>205</v>
      </c>
      <c r="N40" s="54">
        <v>5</v>
      </c>
      <c r="O40" s="19">
        <f>N40/35</f>
        <v>0.14285714285714285</v>
      </c>
      <c r="P40" s="108">
        <f t="shared" si="3"/>
        <v>9.75</v>
      </c>
      <c r="Q40" s="12"/>
      <c r="R40" s="54"/>
      <c r="S40" s="19"/>
      <c r="T40" s="108">
        <f t="shared" si="4"/>
        <v>0</v>
      </c>
    </row>
    <row r="41" spans="2:20">
      <c r="B41" s="159"/>
      <c r="C41" s="12"/>
      <c r="D41" s="54"/>
      <c r="E41" s="19"/>
      <c r="F41" s="12"/>
      <c r="G41" s="54"/>
      <c r="H41" s="19"/>
      <c r="I41" s="12" t="s">
        <v>133</v>
      </c>
      <c r="J41" s="54">
        <v>0.5</v>
      </c>
      <c r="K41" s="63">
        <f t="shared" si="16"/>
        <v>5.0000000000000001E-3</v>
      </c>
      <c r="L41" s="108">
        <f t="shared" si="2"/>
        <v>0.97499999999999998</v>
      </c>
      <c r="M41" s="12" t="s">
        <v>217</v>
      </c>
      <c r="N41" s="54">
        <v>12</v>
      </c>
      <c r="O41" s="14">
        <f t="shared" ref="O41:O43" si="17">N41/100</f>
        <v>0.12</v>
      </c>
      <c r="P41" s="108">
        <f t="shared" si="3"/>
        <v>23.4</v>
      </c>
      <c r="Q41" s="12"/>
      <c r="R41" s="54"/>
      <c r="S41" s="19"/>
      <c r="T41" s="108">
        <f t="shared" si="4"/>
        <v>0</v>
      </c>
    </row>
    <row r="42" spans="2:20" ht="20.25" customHeight="1">
      <c r="B42" s="159"/>
      <c r="C42" s="12"/>
      <c r="D42" s="54"/>
      <c r="E42" s="19"/>
      <c r="F42" s="12"/>
      <c r="G42" s="54"/>
      <c r="H42" s="19"/>
      <c r="I42" s="12"/>
      <c r="J42" s="54"/>
      <c r="K42" s="19"/>
      <c r="L42" s="108">
        <f t="shared" si="2"/>
        <v>0</v>
      </c>
      <c r="M42" s="12" t="s">
        <v>162</v>
      </c>
      <c r="N42" s="54">
        <v>3</v>
      </c>
      <c r="O42" s="14">
        <f t="shared" si="17"/>
        <v>0.03</v>
      </c>
      <c r="P42" s="108">
        <f t="shared" si="3"/>
        <v>5.85</v>
      </c>
      <c r="Q42" s="12"/>
      <c r="R42" s="54"/>
      <c r="S42" s="19"/>
      <c r="T42" s="108">
        <f t="shared" si="4"/>
        <v>0</v>
      </c>
    </row>
    <row r="43" spans="2:20">
      <c r="B43" s="159"/>
      <c r="C43" s="12"/>
      <c r="D43" s="54"/>
      <c r="E43" s="59"/>
      <c r="F43" s="12"/>
      <c r="G43" s="54"/>
      <c r="H43" s="59"/>
      <c r="I43" s="55"/>
      <c r="J43" s="65"/>
      <c r="K43" s="59"/>
      <c r="L43" s="108">
        <f t="shared" si="2"/>
        <v>0</v>
      </c>
      <c r="M43" s="55" t="s">
        <v>218</v>
      </c>
      <c r="N43" s="54">
        <v>0.2</v>
      </c>
      <c r="O43" s="14">
        <f t="shared" si="17"/>
        <v>2E-3</v>
      </c>
      <c r="P43" s="108">
        <f t="shared" si="3"/>
        <v>0.39</v>
      </c>
      <c r="Q43" s="12"/>
      <c r="R43" s="54"/>
      <c r="S43" s="59"/>
      <c r="T43" s="108">
        <f t="shared" si="4"/>
        <v>0</v>
      </c>
    </row>
    <row r="44" spans="2:20">
      <c r="B44" s="159"/>
      <c r="C44" s="17"/>
      <c r="D44" s="47"/>
      <c r="E44" s="56">
        <f>D44+D38+D39+D40+D41+D42+D43</f>
        <v>0</v>
      </c>
      <c r="F44" s="17"/>
      <c r="G44" s="47"/>
      <c r="H44" s="56">
        <f>G44+G38+G39+G40+G41+G42+G43</f>
        <v>0</v>
      </c>
      <c r="I44" s="17"/>
      <c r="J44" s="47"/>
      <c r="K44" s="56">
        <f>J44+J38+J39+J40+J41+J42+J43</f>
        <v>33.5</v>
      </c>
      <c r="L44" s="108">
        <f t="shared" si="2"/>
        <v>0</v>
      </c>
      <c r="M44" s="17"/>
      <c r="N44" s="47"/>
      <c r="O44" s="56">
        <f>N44+N38+N39+N40+N41+N42+N43</f>
        <v>48.2</v>
      </c>
      <c r="P44" s="108">
        <f t="shared" si="3"/>
        <v>0</v>
      </c>
      <c r="Q44" s="17"/>
      <c r="R44" s="47"/>
      <c r="S44" s="56">
        <f>R44+R38+R39+R40+R41+R42+R43</f>
        <v>40</v>
      </c>
      <c r="T44" s="108">
        <f t="shared" si="4"/>
        <v>0</v>
      </c>
    </row>
    <row r="45" spans="2:20" ht="24" customHeight="1">
      <c r="B45" s="66" t="s">
        <v>20</v>
      </c>
      <c r="C45" s="161"/>
      <c r="D45" s="162"/>
      <c r="E45" s="67"/>
      <c r="F45" s="161"/>
      <c r="G45" s="162"/>
      <c r="H45" s="67"/>
      <c r="I45" s="161"/>
      <c r="J45" s="162"/>
      <c r="K45" s="67"/>
      <c r="L45" s="109"/>
      <c r="M45" s="161" t="s">
        <v>362</v>
      </c>
      <c r="N45" s="162"/>
      <c r="O45" s="67"/>
      <c r="P45" s="109"/>
      <c r="Q45" s="161"/>
      <c r="R45" s="162"/>
      <c r="S45" s="67"/>
      <c r="T45" s="109"/>
    </row>
    <row r="46" spans="2:20" ht="21.75" customHeight="1">
      <c r="B46" s="163"/>
      <c r="C46" s="68" t="s">
        <v>24</v>
      </c>
      <c r="D46" s="44">
        <f t="shared" ref="D46:D50" si="18">E46</f>
        <v>0</v>
      </c>
      <c r="E46" s="69">
        <f>E5+E38</f>
        <v>0</v>
      </c>
      <c r="F46" s="68" t="s">
        <v>24</v>
      </c>
      <c r="G46" s="44">
        <f>H46</f>
        <v>0</v>
      </c>
      <c r="H46" s="69">
        <f>H5</f>
        <v>0</v>
      </c>
      <c r="I46" s="68" t="s">
        <v>24</v>
      </c>
      <c r="J46" s="44">
        <v>4.3</v>
      </c>
      <c r="K46" s="69">
        <f>K5+K23</f>
        <v>5</v>
      </c>
      <c r="L46" s="110"/>
      <c r="M46" s="68" t="s">
        <v>24</v>
      </c>
      <c r="N46" s="70">
        <v>4.0999999999999996</v>
      </c>
      <c r="O46" s="69">
        <f>O5+O6+O23</f>
        <v>4.668181818181818</v>
      </c>
      <c r="P46" s="110"/>
      <c r="Q46" s="68" t="s">
        <v>24</v>
      </c>
      <c r="R46" s="70">
        <v>4.3</v>
      </c>
      <c r="S46" s="69">
        <f>S5+S38+S6</f>
        <v>5</v>
      </c>
      <c r="T46" s="110"/>
    </row>
    <row r="47" spans="2:20">
      <c r="B47" s="164"/>
      <c r="C47" s="71" t="s">
        <v>25</v>
      </c>
      <c r="D47" s="44">
        <f t="shared" si="18"/>
        <v>0</v>
      </c>
      <c r="E47" s="69">
        <v>0</v>
      </c>
      <c r="F47" s="71" t="s">
        <v>25</v>
      </c>
      <c r="G47" s="44">
        <f t="shared" ref="G47:G50" si="19">H47</f>
        <v>0</v>
      </c>
      <c r="H47" s="69"/>
      <c r="I47" s="71" t="s">
        <v>25</v>
      </c>
      <c r="J47" s="44">
        <f t="shared" ref="J46:J50" si="20">K47</f>
        <v>0</v>
      </c>
      <c r="K47" s="69"/>
      <c r="L47" s="110"/>
      <c r="M47" s="71" t="s">
        <v>25</v>
      </c>
      <c r="N47" s="70">
        <v>1</v>
      </c>
      <c r="O47" s="69"/>
      <c r="P47" s="110"/>
      <c r="Q47" s="71" t="s">
        <v>25</v>
      </c>
      <c r="R47" s="70">
        <f>S47</f>
        <v>0</v>
      </c>
      <c r="S47" s="69"/>
      <c r="T47" s="110"/>
    </row>
    <row r="48" spans="2:20">
      <c r="B48" s="164"/>
      <c r="C48" s="71" t="s">
        <v>4</v>
      </c>
      <c r="D48" s="44">
        <f t="shared" si="18"/>
        <v>0</v>
      </c>
      <c r="E48" s="69">
        <f>E14+E13+E12+E26+E28+E40</f>
        <v>0</v>
      </c>
      <c r="F48" s="71" t="s">
        <v>4</v>
      </c>
      <c r="G48" s="44">
        <f t="shared" si="19"/>
        <v>0</v>
      </c>
      <c r="H48" s="69">
        <f>H39+H24+H27+H14+H38+H43</f>
        <v>0</v>
      </c>
      <c r="I48" s="71" t="s">
        <v>4</v>
      </c>
      <c r="J48" s="44">
        <f t="shared" si="20"/>
        <v>2.3857142857142857</v>
      </c>
      <c r="K48" s="69">
        <f>K37+K9+K27+K14+K38+K43</f>
        <v>2.3857142857142857</v>
      </c>
      <c r="L48" s="110"/>
      <c r="M48" s="71" t="s">
        <v>4</v>
      </c>
      <c r="N48" s="70">
        <v>2.1</v>
      </c>
      <c r="O48" s="69">
        <f>O38+O25+O14+O39+O40</f>
        <v>2.3716450216450218</v>
      </c>
      <c r="P48" s="110"/>
      <c r="Q48" s="71" t="s">
        <v>4</v>
      </c>
      <c r="R48" s="70">
        <f>S48</f>
        <v>2.1309523809523809</v>
      </c>
      <c r="S48" s="69">
        <f>S15+S25+S14</f>
        <v>2.1309523809523809</v>
      </c>
      <c r="T48" s="110"/>
    </row>
    <row r="49" spans="2:20">
      <c r="B49" s="164"/>
      <c r="C49" s="71" t="s">
        <v>5</v>
      </c>
      <c r="D49" s="44">
        <f t="shared" si="18"/>
        <v>0</v>
      </c>
      <c r="E49" s="69">
        <f>E41+E39+E38+E34+E33+E32+E27+E24+E16+E15+E25</f>
        <v>0</v>
      </c>
      <c r="F49" s="71" t="s">
        <v>5</v>
      </c>
      <c r="G49" s="44">
        <f t="shared" si="19"/>
        <v>0</v>
      </c>
      <c r="H49" s="69">
        <f>H42+H41+H40+H34+H33+H32+H23+H25+H26</f>
        <v>0</v>
      </c>
      <c r="I49" s="71" t="s">
        <v>5</v>
      </c>
      <c r="J49" s="44">
        <v>1.8</v>
      </c>
      <c r="K49" s="69">
        <f>K39+K41+K40+K34+K33+K32+K22+K25+K26+K6+K7+K8+K10</f>
        <v>1.3299999999999998</v>
      </c>
      <c r="L49" s="110"/>
      <c r="M49" s="71" t="s">
        <v>5</v>
      </c>
      <c r="N49" s="70">
        <v>1.6</v>
      </c>
      <c r="O49" s="69">
        <f>O41+O42+O43+O34+O33+O32+O26+O15+O16+O17+O24</f>
        <v>1.2270000000000001</v>
      </c>
      <c r="P49" s="110"/>
      <c r="Q49" s="71" t="s">
        <v>5</v>
      </c>
      <c r="R49" s="70">
        <f>S49</f>
        <v>1.6219999999999999</v>
      </c>
      <c r="S49" s="69">
        <f>S42+S16+S40+S17+S34+S33+S32+S26+S24+S23</f>
        <v>1.6219999999999999</v>
      </c>
      <c r="T49" s="110"/>
    </row>
    <row r="50" spans="2:20">
      <c r="B50" s="164"/>
      <c r="C50" s="71" t="s">
        <v>6</v>
      </c>
      <c r="D50" s="44">
        <f t="shared" si="18"/>
        <v>0</v>
      </c>
      <c r="E50" s="69"/>
      <c r="F50" s="71" t="s">
        <v>6</v>
      </c>
      <c r="G50" s="44">
        <f t="shared" si="19"/>
        <v>0</v>
      </c>
      <c r="H50" s="69"/>
      <c r="I50" s="71" t="s">
        <v>6</v>
      </c>
      <c r="J50" s="44">
        <f t="shared" si="20"/>
        <v>0</v>
      </c>
      <c r="K50" s="69"/>
      <c r="L50" s="110"/>
      <c r="M50" s="71" t="s">
        <v>6</v>
      </c>
      <c r="N50" s="70">
        <f>O50</f>
        <v>0</v>
      </c>
      <c r="O50" s="69"/>
      <c r="P50" s="110"/>
      <c r="Q50" s="71" t="s">
        <v>6</v>
      </c>
      <c r="R50" s="70">
        <f>S50</f>
        <v>0</v>
      </c>
      <c r="S50" s="69"/>
      <c r="T50" s="110"/>
    </row>
    <row r="51" spans="2:20" ht="18.75" customHeight="1">
      <c r="B51" s="164"/>
      <c r="C51" s="153" t="s">
        <v>7</v>
      </c>
      <c r="D51" s="44">
        <v>0</v>
      </c>
      <c r="E51" s="69">
        <v>0</v>
      </c>
      <c r="F51" s="153" t="s">
        <v>7</v>
      </c>
      <c r="G51" s="44">
        <v>0</v>
      </c>
      <c r="H51" s="69">
        <v>0</v>
      </c>
      <c r="I51" s="153" t="s">
        <v>7</v>
      </c>
      <c r="J51" s="44">
        <f>K51</f>
        <v>2.5</v>
      </c>
      <c r="K51" s="69">
        <v>2.5</v>
      </c>
      <c r="L51" s="110"/>
      <c r="M51" s="153" t="s">
        <v>7</v>
      </c>
      <c r="N51" s="70">
        <f>O51</f>
        <v>2.5</v>
      </c>
      <c r="O51" s="69">
        <v>2.5</v>
      </c>
      <c r="P51" s="110"/>
      <c r="Q51" s="153" t="s">
        <v>7</v>
      </c>
      <c r="R51" s="70">
        <f>S51</f>
        <v>2.5</v>
      </c>
      <c r="S51" s="69">
        <v>2.5</v>
      </c>
      <c r="T51" s="110"/>
    </row>
    <row r="52" spans="2:20">
      <c r="B52" s="164"/>
      <c r="C52" s="153"/>
      <c r="D52" s="44"/>
      <c r="E52" s="69">
        <v>0</v>
      </c>
      <c r="F52" s="153"/>
      <c r="G52" s="44"/>
      <c r="H52" s="69">
        <v>0</v>
      </c>
      <c r="I52" s="153"/>
      <c r="J52" s="44"/>
      <c r="K52" s="69">
        <v>0</v>
      </c>
      <c r="L52" s="110"/>
      <c r="M52" s="153"/>
      <c r="N52" s="70"/>
      <c r="O52" s="69">
        <v>0</v>
      </c>
      <c r="P52" s="110"/>
      <c r="Q52" s="153"/>
      <c r="R52" s="70"/>
      <c r="S52" s="69">
        <v>0</v>
      </c>
      <c r="T52" s="110"/>
    </row>
    <row r="53" spans="2:20">
      <c r="B53" s="165"/>
      <c r="C53" s="72" t="s">
        <v>8</v>
      </c>
      <c r="D53" s="73">
        <f t="shared" ref="D53" si="21">D46*70+D47*120+D48*75+D49*25+D50*60+D51*45</f>
        <v>0</v>
      </c>
      <c r="E53" s="74"/>
      <c r="F53" s="72" t="s">
        <v>8</v>
      </c>
      <c r="G53" s="73">
        <f>G46*70+G47*120+G48*75+G49*25+G50*60+G51*45</f>
        <v>0</v>
      </c>
      <c r="H53" s="74"/>
      <c r="I53" s="72" t="s">
        <v>8</v>
      </c>
      <c r="J53" s="73">
        <f t="shared" ref="J53" si="22">J46*70+J47*120+J48*75+J49*25+J50*60+J51*45</f>
        <v>637.42857142857144</v>
      </c>
      <c r="K53" s="74"/>
      <c r="L53" s="111"/>
      <c r="M53" s="72" t="s">
        <v>8</v>
      </c>
      <c r="N53" s="75">
        <f t="shared" ref="N53" si="23">N46*70+N47*120+N48*75+N49*25+N50*60+N51*45</f>
        <v>717</v>
      </c>
      <c r="O53" s="74"/>
      <c r="P53" s="111"/>
      <c r="Q53" s="72" t="s">
        <v>8</v>
      </c>
      <c r="R53" s="75">
        <f t="shared" ref="R53" si="24">R46*70+R47*120+R48*75+R49*25+R50*60+R51*45</f>
        <v>613.87142857142862</v>
      </c>
      <c r="S53" s="74"/>
      <c r="T53" s="111"/>
    </row>
    <row r="54" spans="2:20">
      <c r="B54" s="76"/>
    </row>
    <row r="55" spans="2:20">
      <c r="B55" s="76"/>
    </row>
    <row r="56" spans="2:20">
      <c r="B56" s="76"/>
    </row>
  </sheetData>
  <mergeCells count="48">
    <mergeCell ref="I31:J31"/>
    <mergeCell ref="M31:N31"/>
    <mergeCell ref="M45:N45"/>
    <mergeCell ref="Q45:R45"/>
    <mergeCell ref="B46:B53"/>
    <mergeCell ref="B37:B44"/>
    <mergeCell ref="C37:D37"/>
    <mergeCell ref="F37:G37"/>
    <mergeCell ref="I37:J37"/>
    <mergeCell ref="C45:D45"/>
    <mergeCell ref="F45:G45"/>
    <mergeCell ref="I45:J45"/>
    <mergeCell ref="M37:N37"/>
    <mergeCell ref="Q37:R37"/>
    <mergeCell ref="Q31:R31"/>
    <mergeCell ref="B31:B36"/>
    <mergeCell ref="B22:B30"/>
    <mergeCell ref="C22:D22"/>
    <mergeCell ref="F22:G22"/>
    <mergeCell ref="I22:J22"/>
    <mergeCell ref="M22:N22"/>
    <mergeCell ref="B13:B21"/>
    <mergeCell ref="C13:D13"/>
    <mergeCell ref="F13:G13"/>
    <mergeCell ref="I13:J13"/>
    <mergeCell ref="M13:N13"/>
    <mergeCell ref="F4:G4"/>
    <mergeCell ref="I4:J4"/>
    <mergeCell ref="M4:N4"/>
    <mergeCell ref="Q4:R4"/>
    <mergeCell ref="Q22:R22"/>
    <mergeCell ref="Q13:R13"/>
    <mergeCell ref="B1:R1"/>
    <mergeCell ref="Q51:Q52"/>
    <mergeCell ref="C51:C52"/>
    <mergeCell ref="F51:F52"/>
    <mergeCell ref="I51:I52"/>
    <mergeCell ref="M51:M52"/>
    <mergeCell ref="F2:G2"/>
    <mergeCell ref="C3:D3"/>
    <mergeCell ref="F3:G3"/>
    <mergeCell ref="I3:J3"/>
    <mergeCell ref="M3:N3"/>
    <mergeCell ref="C31:D31"/>
    <mergeCell ref="F31:G31"/>
    <mergeCell ref="Q3:R3"/>
    <mergeCell ref="B4:B12"/>
    <mergeCell ref="C4:D4"/>
  </mergeCells>
  <phoneticPr fontId="2" type="noConversion"/>
  <printOptions horizontalCentered="1" verticalCentered="1"/>
  <pageMargins left="0" right="0" top="0" bottom="0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V56"/>
  <sheetViews>
    <sheetView view="pageBreakPreview" topLeftCell="A31" zoomScale="110" zoomScaleNormal="85" zoomScaleSheetLayoutView="110" workbookViewId="0">
      <selection activeCell="P53" sqref="P53"/>
    </sheetView>
  </sheetViews>
  <sheetFormatPr defaultColWidth="9" defaultRowHeight="19.5"/>
  <cols>
    <col min="1" max="1" width="0.75" style="5" customWidth="1"/>
    <col min="2" max="2" width="7.625" style="79" customWidth="1"/>
    <col min="3" max="3" width="9.25" style="5" customWidth="1"/>
    <col min="4" max="4" width="9.25" style="77" customWidth="1"/>
    <col min="5" max="5" width="9.25" style="77" hidden="1" customWidth="1"/>
    <col min="6" max="6" width="9.25" style="112" hidden="1" customWidth="1"/>
    <col min="7" max="7" width="9.25" style="5" customWidth="1"/>
    <col min="8" max="8" width="9.25" style="77" customWidth="1"/>
    <col min="9" max="9" width="9.25" style="77" hidden="1" customWidth="1"/>
    <col min="10" max="10" width="9.25" style="112" hidden="1" customWidth="1"/>
    <col min="11" max="11" width="9.25" style="5" customWidth="1"/>
    <col min="12" max="12" width="9.25" style="77" customWidth="1"/>
    <col min="13" max="13" width="9.25" style="77" hidden="1" customWidth="1"/>
    <col min="14" max="14" width="9.25" style="112" hidden="1" customWidth="1"/>
    <col min="15" max="15" width="9.25" style="5" customWidth="1"/>
    <col min="16" max="16" width="9.25" style="78" customWidth="1"/>
    <col min="17" max="17" width="9.25" style="5" hidden="1" customWidth="1"/>
    <col min="18" max="18" width="9.25" style="112" hidden="1" customWidth="1"/>
    <col min="19" max="19" width="9.25" style="5" customWidth="1"/>
    <col min="20" max="20" width="9.25" style="78" customWidth="1"/>
    <col min="21" max="21" width="9.25" style="5" hidden="1" customWidth="1"/>
    <col min="22" max="22" width="9.25" style="112" hidden="1" customWidth="1"/>
    <col min="23" max="16384" width="9" style="5"/>
  </cols>
  <sheetData>
    <row r="1" spans="2:22" s="3" customFormat="1">
      <c r="B1" s="151" t="s">
        <v>378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S1" s="152"/>
      <c r="T1" s="152"/>
      <c r="U1" s="43"/>
      <c r="V1" s="43"/>
    </row>
    <row r="2" spans="2:22" s="3" customFormat="1" ht="18.75" customHeight="1">
      <c r="B2" s="20" t="s">
        <v>0</v>
      </c>
      <c r="C2" s="4"/>
      <c r="D2" s="44"/>
      <c r="E2" s="44"/>
      <c r="F2" s="106"/>
      <c r="G2" s="154"/>
      <c r="H2" s="154"/>
      <c r="I2" s="44"/>
      <c r="J2" s="106"/>
      <c r="K2" s="4"/>
      <c r="L2" s="44"/>
      <c r="M2" s="44"/>
      <c r="N2" s="106"/>
      <c r="O2" s="42"/>
      <c r="P2" s="45"/>
      <c r="Q2" s="4"/>
      <c r="R2" s="106"/>
      <c r="S2" s="42"/>
      <c r="T2" s="45"/>
      <c r="U2" s="4"/>
      <c r="V2" s="106"/>
    </row>
    <row r="3" spans="2:22" ht="21" customHeight="1">
      <c r="B3" s="46" t="s">
        <v>1</v>
      </c>
      <c r="C3" s="155">
        <v>43045</v>
      </c>
      <c r="D3" s="156"/>
      <c r="E3" s="87"/>
      <c r="F3" s="107"/>
      <c r="G3" s="155">
        <v>43046</v>
      </c>
      <c r="H3" s="156"/>
      <c r="I3" s="87"/>
      <c r="J3" s="107"/>
      <c r="K3" s="155">
        <v>43047</v>
      </c>
      <c r="L3" s="156"/>
      <c r="M3" s="87"/>
      <c r="N3" s="107"/>
      <c r="O3" s="155">
        <v>43048</v>
      </c>
      <c r="P3" s="156"/>
      <c r="Q3" s="87"/>
      <c r="R3" s="107"/>
      <c r="S3" s="155">
        <v>43049</v>
      </c>
      <c r="T3" s="156"/>
      <c r="U3" s="87"/>
      <c r="V3" s="107"/>
    </row>
    <row r="4" spans="2:22" ht="19.5" customHeight="1">
      <c r="B4" s="159" t="s">
        <v>15</v>
      </c>
      <c r="C4" s="157" t="s">
        <v>38</v>
      </c>
      <c r="D4" s="160"/>
      <c r="E4" s="88"/>
      <c r="F4" s="137"/>
      <c r="G4" s="157" t="s">
        <v>73</v>
      </c>
      <c r="H4" s="160"/>
      <c r="I4" s="88"/>
      <c r="J4" s="137"/>
      <c r="K4" s="157" t="s">
        <v>254</v>
      </c>
      <c r="L4" s="160"/>
      <c r="M4" s="88"/>
      <c r="N4" s="137"/>
      <c r="O4" s="157" t="s">
        <v>239</v>
      </c>
      <c r="P4" s="160"/>
      <c r="Q4" s="88"/>
      <c r="R4" s="137"/>
      <c r="S4" s="157" t="s">
        <v>91</v>
      </c>
      <c r="T4" s="160"/>
      <c r="U4" s="88"/>
      <c r="V4" s="101"/>
    </row>
    <row r="5" spans="2:22" ht="19.5" customHeight="1">
      <c r="B5" s="159"/>
      <c r="C5" s="21" t="s">
        <v>134</v>
      </c>
      <c r="D5" s="85">
        <v>85</v>
      </c>
      <c r="E5" s="83">
        <f>D5/20</f>
        <v>4.25</v>
      </c>
      <c r="F5" s="108">
        <f>D5*1950/1000</f>
        <v>165.75</v>
      </c>
      <c r="G5" s="21" t="s">
        <v>134</v>
      </c>
      <c r="H5" s="85">
        <v>80</v>
      </c>
      <c r="I5" s="83">
        <f>H5/20</f>
        <v>4</v>
      </c>
      <c r="J5" s="108">
        <f>H5*1950/1000</f>
        <v>156</v>
      </c>
      <c r="K5" s="41" t="s">
        <v>255</v>
      </c>
      <c r="L5" s="85">
        <v>120</v>
      </c>
      <c r="M5" s="83">
        <f>L5/40</f>
        <v>3</v>
      </c>
      <c r="N5" s="108">
        <f>L5*1950/1000/0.6</f>
        <v>390</v>
      </c>
      <c r="O5" s="21" t="s">
        <v>134</v>
      </c>
      <c r="P5" s="85">
        <v>85</v>
      </c>
      <c r="Q5" s="83">
        <f>P5/20</f>
        <v>4.25</v>
      </c>
      <c r="R5" s="108">
        <f>P5*1950/1000</f>
        <v>165.75</v>
      </c>
      <c r="S5" s="21" t="s">
        <v>134</v>
      </c>
      <c r="T5" s="85">
        <v>70</v>
      </c>
      <c r="U5" s="83">
        <f>T5/20</f>
        <v>3.5</v>
      </c>
      <c r="V5" s="108">
        <f>T5*1950/1000</f>
        <v>136.5</v>
      </c>
    </row>
    <row r="6" spans="2:22" ht="19.5" customHeight="1">
      <c r="B6" s="159"/>
      <c r="C6" s="21"/>
      <c r="D6" s="57"/>
      <c r="E6" s="89"/>
      <c r="F6" s="108">
        <f t="shared" ref="F6:F44" si="0">D6*1950/1000</f>
        <v>0</v>
      </c>
      <c r="G6" s="21" t="s">
        <v>74</v>
      </c>
      <c r="H6" s="57">
        <v>5</v>
      </c>
      <c r="I6" s="83">
        <f>H6/20</f>
        <v>0.25</v>
      </c>
      <c r="J6" s="108">
        <f t="shared" ref="J6:J44" si="1">H6*1950/1000</f>
        <v>9.75</v>
      </c>
      <c r="K6" s="21" t="s">
        <v>256</v>
      </c>
      <c r="L6" s="57">
        <v>10</v>
      </c>
      <c r="M6" s="80"/>
      <c r="N6" s="108">
        <f t="shared" ref="N6:N44" si="2">L6*1950/1000</f>
        <v>19.5</v>
      </c>
      <c r="O6" s="21"/>
      <c r="P6" s="57"/>
      <c r="Q6" s="89"/>
      <c r="R6" s="108">
        <f t="shared" ref="R6:R44" si="3">P6*1950/1000</f>
        <v>0</v>
      </c>
      <c r="S6" s="21" t="s">
        <v>92</v>
      </c>
      <c r="T6" s="57">
        <v>15</v>
      </c>
      <c r="U6" s="83">
        <f>T6/55</f>
        <v>0.27272727272727271</v>
      </c>
      <c r="V6" s="108">
        <f t="shared" ref="V6:V44" si="4">T6*1950/1000</f>
        <v>29.25</v>
      </c>
    </row>
    <row r="7" spans="2:22" ht="19.5" customHeight="1">
      <c r="B7" s="159"/>
      <c r="C7" s="61"/>
      <c r="D7" s="57"/>
      <c r="E7" s="56"/>
      <c r="F7" s="108">
        <f t="shared" si="0"/>
        <v>0</v>
      </c>
      <c r="G7" s="61"/>
      <c r="H7" s="57"/>
      <c r="I7" s="56"/>
      <c r="J7" s="108">
        <f t="shared" si="1"/>
        <v>0</v>
      </c>
      <c r="K7" s="61" t="s">
        <v>257</v>
      </c>
      <c r="L7" s="54">
        <v>5</v>
      </c>
      <c r="M7" s="56"/>
      <c r="N7" s="108">
        <f t="shared" si="2"/>
        <v>9.75</v>
      </c>
      <c r="O7" s="61"/>
      <c r="P7" s="57"/>
      <c r="Q7" s="56"/>
      <c r="R7" s="108">
        <f t="shared" si="3"/>
        <v>0</v>
      </c>
      <c r="S7" s="61" t="s">
        <v>147</v>
      </c>
      <c r="T7" s="57"/>
      <c r="U7" s="56"/>
      <c r="V7" s="108">
        <f t="shared" si="4"/>
        <v>0</v>
      </c>
    </row>
    <row r="8" spans="2:22" ht="19.5" customHeight="1">
      <c r="B8" s="159"/>
      <c r="C8" s="17"/>
      <c r="D8" s="48"/>
      <c r="E8" s="56"/>
      <c r="F8" s="108">
        <f t="shared" si="0"/>
        <v>0</v>
      </c>
      <c r="G8" s="17"/>
      <c r="H8" s="48"/>
      <c r="I8" s="56"/>
      <c r="J8" s="108">
        <f t="shared" si="1"/>
        <v>0</v>
      </c>
      <c r="K8" s="17" t="s">
        <v>258</v>
      </c>
      <c r="L8" s="47">
        <v>10</v>
      </c>
      <c r="M8" s="56"/>
      <c r="N8" s="108">
        <f t="shared" si="2"/>
        <v>19.5</v>
      </c>
      <c r="O8" s="17"/>
      <c r="P8" s="48"/>
      <c r="Q8" s="56"/>
      <c r="R8" s="108">
        <f t="shared" si="3"/>
        <v>0</v>
      </c>
      <c r="S8" s="17"/>
      <c r="T8" s="48"/>
      <c r="U8" s="56"/>
      <c r="V8" s="108">
        <f t="shared" si="4"/>
        <v>0</v>
      </c>
    </row>
    <row r="9" spans="2:22" ht="19.5" customHeight="1">
      <c r="B9" s="159"/>
      <c r="C9" s="49"/>
      <c r="D9" s="51"/>
      <c r="E9" s="59"/>
      <c r="F9" s="108">
        <f t="shared" si="0"/>
        <v>0</v>
      </c>
      <c r="G9" s="49"/>
      <c r="H9" s="51"/>
      <c r="I9" s="59"/>
      <c r="J9" s="108">
        <f t="shared" si="1"/>
        <v>0</v>
      </c>
      <c r="K9" s="49" t="s">
        <v>259</v>
      </c>
      <c r="L9" s="47">
        <v>5</v>
      </c>
      <c r="M9" s="59"/>
      <c r="N9" s="108">
        <f t="shared" si="2"/>
        <v>9.75</v>
      </c>
      <c r="O9" s="49"/>
      <c r="P9" s="51"/>
      <c r="Q9" s="59"/>
      <c r="R9" s="108">
        <f t="shared" si="3"/>
        <v>0</v>
      </c>
      <c r="S9" s="49"/>
      <c r="T9" s="51"/>
      <c r="U9" s="59"/>
      <c r="V9" s="108">
        <f t="shared" si="4"/>
        <v>0</v>
      </c>
    </row>
    <row r="10" spans="2:22">
      <c r="B10" s="159"/>
      <c r="C10" s="49"/>
      <c r="D10" s="51"/>
      <c r="E10" s="59"/>
      <c r="F10" s="108">
        <f t="shared" si="0"/>
        <v>0</v>
      </c>
      <c r="G10" s="49"/>
      <c r="H10" s="51"/>
      <c r="I10" s="59"/>
      <c r="J10" s="108">
        <f t="shared" si="1"/>
        <v>0</v>
      </c>
      <c r="K10" s="49" t="s">
        <v>260</v>
      </c>
      <c r="L10" s="47">
        <v>3</v>
      </c>
      <c r="M10" s="59"/>
      <c r="N10" s="108">
        <f t="shared" si="2"/>
        <v>5.85</v>
      </c>
      <c r="O10" s="49"/>
      <c r="P10" s="51"/>
      <c r="Q10" s="59"/>
      <c r="R10" s="108">
        <f t="shared" si="3"/>
        <v>0</v>
      </c>
      <c r="S10" s="49"/>
      <c r="T10" s="51"/>
      <c r="U10" s="59"/>
      <c r="V10" s="108">
        <f t="shared" si="4"/>
        <v>0</v>
      </c>
    </row>
    <row r="11" spans="2:22">
      <c r="B11" s="159"/>
      <c r="C11" s="49"/>
      <c r="D11" s="51"/>
      <c r="E11" s="59"/>
      <c r="F11" s="108">
        <f t="shared" si="0"/>
        <v>0</v>
      </c>
      <c r="G11" s="49"/>
      <c r="H11" s="51"/>
      <c r="I11" s="59"/>
      <c r="J11" s="108">
        <f t="shared" si="1"/>
        <v>0</v>
      </c>
      <c r="K11" s="49"/>
      <c r="L11" s="50"/>
      <c r="M11" s="59"/>
      <c r="N11" s="108">
        <f t="shared" si="2"/>
        <v>0</v>
      </c>
      <c r="O11" s="49"/>
      <c r="P11" s="51"/>
      <c r="Q11" s="59"/>
      <c r="R11" s="108">
        <f t="shared" si="3"/>
        <v>0</v>
      </c>
      <c r="S11" s="49"/>
      <c r="T11" s="51"/>
      <c r="U11" s="59"/>
      <c r="V11" s="108">
        <f t="shared" si="4"/>
        <v>0</v>
      </c>
    </row>
    <row r="12" spans="2:22">
      <c r="B12" s="159"/>
      <c r="C12" s="49"/>
      <c r="D12" s="51"/>
      <c r="E12" s="81"/>
      <c r="F12" s="108">
        <f t="shared" si="0"/>
        <v>0</v>
      </c>
      <c r="G12" s="49"/>
      <c r="H12" s="51"/>
      <c r="I12" s="59"/>
      <c r="J12" s="108">
        <f t="shared" si="1"/>
        <v>0</v>
      </c>
      <c r="K12" s="49"/>
      <c r="L12" s="50"/>
      <c r="M12" s="59"/>
      <c r="N12" s="108">
        <f t="shared" si="2"/>
        <v>0</v>
      </c>
      <c r="O12" s="49"/>
      <c r="P12" s="51"/>
      <c r="Q12" s="81"/>
      <c r="R12" s="108">
        <f t="shared" si="3"/>
        <v>0</v>
      </c>
      <c r="S12" s="49"/>
      <c r="T12" s="51"/>
      <c r="U12" s="81"/>
      <c r="V12" s="108">
        <f t="shared" si="4"/>
        <v>0</v>
      </c>
    </row>
    <row r="13" spans="2:22">
      <c r="B13" s="159" t="s">
        <v>16</v>
      </c>
      <c r="C13" s="157" t="s">
        <v>65</v>
      </c>
      <c r="D13" s="160"/>
      <c r="E13" s="88"/>
      <c r="F13" s="108">
        <f t="shared" si="0"/>
        <v>0</v>
      </c>
      <c r="G13" s="157" t="s">
        <v>242</v>
      </c>
      <c r="H13" s="160"/>
      <c r="I13" s="138"/>
      <c r="J13" s="108">
        <f t="shared" si="1"/>
        <v>0</v>
      </c>
      <c r="K13" s="157" t="s">
        <v>261</v>
      </c>
      <c r="L13" s="160"/>
      <c r="M13" s="138"/>
      <c r="N13" s="108">
        <f t="shared" si="2"/>
        <v>0</v>
      </c>
      <c r="O13" s="157" t="s">
        <v>269</v>
      </c>
      <c r="P13" s="160"/>
      <c r="Q13" s="88"/>
      <c r="R13" s="108">
        <f t="shared" si="3"/>
        <v>0</v>
      </c>
      <c r="S13" s="157" t="s">
        <v>93</v>
      </c>
      <c r="T13" s="160"/>
      <c r="U13" s="88"/>
      <c r="V13" s="108">
        <f t="shared" si="4"/>
        <v>0</v>
      </c>
    </row>
    <row r="14" spans="2:22">
      <c r="B14" s="159"/>
      <c r="C14" s="10" t="s">
        <v>148</v>
      </c>
      <c r="D14" s="85">
        <v>60</v>
      </c>
      <c r="E14" s="11">
        <f>D14*0.7/30</f>
        <v>1.4</v>
      </c>
      <c r="F14" s="108">
        <f t="shared" si="0"/>
        <v>117</v>
      </c>
      <c r="G14" s="10" t="s">
        <v>75</v>
      </c>
      <c r="H14" s="85">
        <v>90</v>
      </c>
      <c r="I14" s="53">
        <f>H14*0.7/40</f>
        <v>1.5749999999999997</v>
      </c>
      <c r="J14" s="108">
        <f t="shared" si="1"/>
        <v>175.5</v>
      </c>
      <c r="K14" s="10" t="s">
        <v>262</v>
      </c>
      <c r="L14" s="52">
        <v>60</v>
      </c>
      <c r="M14" s="53">
        <f>L14/35</f>
        <v>1.7142857142857142</v>
      </c>
      <c r="N14" s="108">
        <f t="shared" si="2"/>
        <v>117</v>
      </c>
      <c r="O14" s="10" t="s">
        <v>271</v>
      </c>
      <c r="P14" s="85">
        <v>40</v>
      </c>
      <c r="Q14" s="11">
        <f>P14*0.7/40</f>
        <v>0.7</v>
      </c>
      <c r="R14" s="108">
        <f t="shared" si="3"/>
        <v>78</v>
      </c>
      <c r="S14" s="10" t="s">
        <v>94</v>
      </c>
      <c r="T14" s="85">
        <v>55</v>
      </c>
      <c r="U14" s="11">
        <f>T14/35</f>
        <v>1.5714285714285714</v>
      </c>
      <c r="V14" s="108">
        <f t="shared" si="4"/>
        <v>107.25</v>
      </c>
    </row>
    <row r="15" spans="2:22">
      <c r="B15" s="159"/>
      <c r="C15" s="12"/>
      <c r="D15" s="57"/>
      <c r="E15" s="19"/>
      <c r="F15" s="108">
        <f>D15*1950/1000</f>
        <v>0</v>
      </c>
      <c r="G15" s="12" t="s">
        <v>66</v>
      </c>
      <c r="H15" s="57">
        <v>10</v>
      </c>
      <c r="I15" s="14">
        <f t="shared" ref="I15" si="5">H15/100</f>
        <v>0.1</v>
      </c>
      <c r="J15" s="108">
        <f>H15*1950/1000</f>
        <v>19.5</v>
      </c>
      <c r="K15" s="12"/>
      <c r="L15" s="54"/>
      <c r="M15" s="19"/>
      <c r="N15" s="108">
        <f>L15*1950/1000</f>
        <v>0</v>
      </c>
      <c r="O15" s="12" t="s">
        <v>270</v>
      </c>
      <c r="P15" s="57">
        <v>20</v>
      </c>
      <c r="Q15" s="63">
        <f t="shared" ref="Q15:Q16" si="6">P15/100</f>
        <v>0.2</v>
      </c>
      <c r="R15" s="108">
        <f>P15*1950/1000</f>
        <v>39</v>
      </c>
      <c r="S15" s="12" t="s">
        <v>66</v>
      </c>
      <c r="T15" s="57">
        <v>20</v>
      </c>
      <c r="U15" s="63">
        <f t="shared" ref="U15:U17" si="7">T15/100</f>
        <v>0.2</v>
      </c>
      <c r="V15" s="108">
        <f>T15*1950/1000</f>
        <v>39</v>
      </c>
    </row>
    <row r="16" spans="2:22">
      <c r="B16" s="159"/>
      <c r="C16" s="12"/>
      <c r="D16" s="57"/>
      <c r="E16" s="19"/>
      <c r="F16" s="108">
        <f>D16*1950/1000</f>
        <v>0</v>
      </c>
      <c r="G16" s="12" t="s">
        <v>111</v>
      </c>
      <c r="H16" s="57">
        <v>30</v>
      </c>
      <c r="I16" s="18">
        <f>H16/90</f>
        <v>0.33333333333333331</v>
      </c>
      <c r="J16" s="108">
        <f>H16*1950/1000</f>
        <v>58.5</v>
      </c>
      <c r="K16" s="12"/>
      <c r="L16" s="54"/>
      <c r="M16" s="19"/>
      <c r="N16" s="108">
        <f>L16*1950/1000</f>
        <v>0</v>
      </c>
      <c r="O16" s="12" t="s">
        <v>79</v>
      </c>
      <c r="P16" s="57">
        <v>5</v>
      </c>
      <c r="Q16" s="63">
        <f t="shared" si="6"/>
        <v>0.05</v>
      </c>
      <c r="R16" s="108">
        <f>P16*1950/1000</f>
        <v>9.75</v>
      </c>
      <c r="S16" s="12" t="s">
        <v>110</v>
      </c>
      <c r="T16" s="57">
        <v>25</v>
      </c>
      <c r="U16" s="63">
        <f t="shared" si="7"/>
        <v>0.25</v>
      </c>
      <c r="V16" s="108">
        <f>T16*1950/1000</f>
        <v>48.75</v>
      </c>
    </row>
    <row r="17" spans="2:22">
      <c r="B17" s="159"/>
      <c r="C17" s="12"/>
      <c r="D17" s="57"/>
      <c r="E17" s="19"/>
      <c r="F17" s="108">
        <f>D17*1950/1000</f>
        <v>0</v>
      </c>
      <c r="G17" s="12" t="s">
        <v>243</v>
      </c>
      <c r="H17" s="57">
        <v>5</v>
      </c>
      <c r="I17" s="14">
        <f t="shared" ref="I17" si="8">H17/100</f>
        <v>0.05</v>
      </c>
      <c r="J17" s="108">
        <f>H17*1950/1000</f>
        <v>9.75</v>
      </c>
      <c r="K17" s="12"/>
      <c r="L17" s="54"/>
      <c r="M17" s="19"/>
      <c r="N17" s="108">
        <f>L17*1950/1000</f>
        <v>0</v>
      </c>
      <c r="O17" s="12" t="s">
        <v>272</v>
      </c>
      <c r="P17" s="57">
        <v>20</v>
      </c>
      <c r="Q17" s="19">
        <f>P17/55</f>
        <v>0.36363636363636365</v>
      </c>
      <c r="R17" s="108">
        <f>P17*1950/1000</f>
        <v>39</v>
      </c>
      <c r="S17" s="12" t="s">
        <v>151</v>
      </c>
      <c r="T17" s="57">
        <v>3</v>
      </c>
      <c r="U17" s="63">
        <f t="shared" si="7"/>
        <v>0.03</v>
      </c>
      <c r="V17" s="108">
        <f>T17*1950/1000</f>
        <v>5.85</v>
      </c>
    </row>
    <row r="18" spans="2:22" ht="19.5" customHeight="1">
      <c r="B18" s="159"/>
      <c r="C18" s="55"/>
      <c r="D18" s="57"/>
      <c r="E18" s="56"/>
      <c r="F18" s="108">
        <f>D18*1950/1000</f>
        <v>0</v>
      </c>
      <c r="G18" s="55" t="s">
        <v>244</v>
      </c>
      <c r="H18" s="57">
        <v>5</v>
      </c>
      <c r="I18" s="56"/>
      <c r="J18" s="108">
        <f>H18*1950/1000</f>
        <v>9.75</v>
      </c>
      <c r="K18" s="55"/>
      <c r="L18" s="54"/>
      <c r="M18" s="56"/>
      <c r="N18" s="108">
        <f>L18*1950/1000</f>
        <v>0</v>
      </c>
      <c r="O18" s="55" t="s">
        <v>273</v>
      </c>
      <c r="P18" s="57">
        <v>1</v>
      </c>
      <c r="Q18" s="56"/>
      <c r="R18" s="108">
        <f>P18*1950/1000</f>
        <v>1.95</v>
      </c>
      <c r="S18" s="55" t="s">
        <v>87</v>
      </c>
      <c r="T18" s="57">
        <v>10</v>
      </c>
      <c r="U18" s="56">
        <f>T18/40</f>
        <v>0.25</v>
      </c>
      <c r="V18" s="108">
        <f>T18*1950/1000</f>
        <v>19.5</v>
      </c>
    </row>
    <row r="19" spans="2:22">
      <c r="B19" s="159"/>
      <c r="C19" s="55"/>
      <c r="D19" s="60"/>
      <c r="E19" s="59"/>
      <c r="F19" s="108">
        <f t="shared" si="0"/>
        <v>0</v>
      </c>
      <c r="G19" s="55"/>
      <c r="H19" s="60"/>
      <c r="I19" s="59"/>
      <c r="J19" s="108">
        <f t="shared" si="1"/>
        <v>0</v>
      </c>
      <c r="K19" s="55"/>
      <c r="L19" s="58"/>
      <c r="M19" s="59"/>
      <c r="N19" s="108">
        <f t="shared" si="2"/>
        <v>0</v>
      </c>
      <c r="O19" s="55" t="s">
        <v>274</v>
      </c>
      <c r="P19" s="60">
        <v>10</v>
      </c>
      <c r="Q19" s="59"/>
      <c r="R19" s="108">
        <f t="shared" si="3"/>
        <v>19.5</v>
      </c>
      <c r="S19" s="55"/>
      <c r="T19" s="60"/>
      <c r="U19" s="59"/>
      <c r="V19" s="108">
        <f t="shared" si="4"/>
        <v>0</v>
      </c>
    </row>
    <row r="20" spans="2:22">
      <c r="B20" s="159"/>
      <c r="C20" s="55"/>
      <c r="D20" s="60"/>
      <c r="E20" s="59"/>
      <c r="F20" s="108">
        <f t="shared" si="0"/>
        <v>0</v>
      </c>
      <c r="G20" s="55"/>
      <c r="H20" s="60"/>
      <c r="I20" s="59"/>
      <c r="J20" s="108">
        <f t="shared" si="1"/>
        <v>0</v>
      </c>
      <c r="K20" s="55"/>
      <c r="L20" s="58"/>
      <c r="M20" s="59"/>
      <c r="N20" s="108">
        <f t="shared" si="2"/>
        <v>0</v>
      </c>
      <c r="O20" s="55"/>
      <c r="P20" s="60"/>
      <c r="Q20" s="59"/>
      <c r="R20" s="108">
        <f t="shared" si="3"/>
        <v>0</v>
      </c>
      <c r="S20" s="55"/>
      <c r="T20" s="60"/>
      <c r="U20" s="59"/>
      <c r="V20" s="108">
        <f t="shared" si="4"/>
        <v>0</v>
      </c>
    </row>
    <row r="21" spans="2:22">
      <c r="B21" s="159"/>
      <c r="C21" s="61"/>
      <c r="D21" s="57"/>
      <c r="E21" s="56">
        <f>D14+D15+D16+D17+D18+D19+D20</f>
        <v>60</v>
      </c>
      <c r="F21" s="108">
        <f t="shared" si="0"/>
        <v>0</v>
      </c>
      <c r="G21" s="61"/>
      <c r="H21" s="57"/>
      <c r="I21" s="56">
        <f>H14+H15+H16+H17+H18+H19+H20</f>
        <v>140</v>
      </c>
      <c r="J21" s="108">
        <f t="shared" si="1"/>
        <v>0</v>
      </c>
      <c r="K21" s="61"/>
      <c r="L21" s="54"/>
      <c r="M21" s="56">
        <f>L14+L15+L16+L17+L18+L19+L20</f>
        <v>60</v>
      </c>
      <c r="N21" s="108">
        <f t="shared" si="2"/>
        <v>0</v>
      </c>
      <c r="O21" s="61"/>
      <c r="P21" s="57"/>
      <c r="Q21" s="56">
        <f>P14+P15+P16+P17+P18+P19+P20</f>
        <v>96</v>
      </c>
      <c r="R21" s="108">
        <f t="shared" si="3"/>
        <v>0</v>
      </c>
      <c r="S21" s="61"/>
      <c r="T21" s="57"/>
      <c r="U21" s="56">
        <f>T14+T15+T16+T17+T18+T19+T20</f>
        <v>113</v>
      </c>
      <c r="V21" s="108">
        <f t="shared" si="4"/>
        <v>0</v>
      </c>
    </row>
    <row r="22" spans="2:22">
      <c r="B22" s="159" t="s">
        <v>17</v>
      </c>
      <c r="C22" s="157" t="s">
        <v>240</v>
      </c>
      <c r="D22" s="160"/>
      <c r="E22" s="88"/>
      <c r="F22" s="108">
        <f t="shared" si="0"/>
        <v>0</v>
      </c>
      <c r="G22" s="157" t="s">
        <v>329</v>
      </c>
      <c r="H22" s="160"/>
      <c r="I22" s="138"/>
      <c r="J22" s="108">
        <f t="shared" si="1"/>
        <v>0</v>
      </c>
      <c r="K22" s="157" t="s">
        <v>263</v>
      </c>
      <c r="L22" s="160"/>
      <c r="M22" s="138"/>
      <c r="N22" s="108">
        <f t="shared" si="2"/>
        <v>0</v>
      </c>
      <c r="O22" s="157" t="s">
        <v>368</v>
      </c>
      <c r="P22" s="160"/>
      <c r="Q22" s="88"/>
      <c r="R22" s="108">
        <f t="shared" si="3"/>
        <v>0</v>
      </c>
      <c r="S22" s="157" t="s">
        <v>95</v>
      </c>
      <c r="T22" s="160"/>
      <c r="U22" s="88"/>
      <c r="V22" s="108">
        <f t="shared" si="4"/>
        <v>0</v>
      </c>
    </row>
    <row r="23" spans="2:22">
      <c r="B23" s="159"/>
      <c r="C23" s="10" t="s">
        <v>149</v>
      </c>
      <c r="D23" s="62">
        <v>60</v>
      </c>
      <c r="E23" s="40">
        <f>D23/80</f>
        <v>0.75</v>
      </c>
      <c r="F23" s="108">
        <f t="shared" si="0"/>
        <v>117</v>
      </c>
      <c r="G23" s="10" t="s">
        <v>334</v>
      </c>
      <c r="H23" s="62">
        <v>60</v>
      </c>
      <c r="I23" s="18">
        <f>H23/20</f>
        <v>3</v>
      </c>
      <c r="J23" s="108">
        <f>H23*1950/1000/0.6</f>
        <v>195</v>
      </c>
      <c r="K23" s="10" t="s">
        <v>264</v>
      </c>
      <c r="L23" s="52">
        <v>70</v>
      </c>
      <c r="M23" s="18">
        <f>L23/30</f>
        <v>2.3333333333333335</v>
      </c>
      <c r="N23" s="108">
        <f t="shared" si="2"/>
        <v>136.5</v>
      </c>
      <c r="O23" s="10" t="s">
        <v>369</v>
      </c>
      <c r="P23" s="52">
        <v>40</v>
      </c>
      <c r="Q23" s="63">
        <f t="shared" ref="Q23" si="9">P23/100</f>
        <v>0.4</v>
      </c>
      <c r="R23" s="108">
        <f t="shared" si="3"/>
        <v>78</v>
      </c>
      <c r="S23" s="10" t="s">
        <v>96</v>
      </c>
      <c r="T23" s="62">
        <v>35</v>
      </c>
      <c r="U23" s="63">
        <f t="shared" ref="U23" si="10">T23/100</f>
        <v>0.35</v>
      </c>
      <c r="V23" s="108">
        <f t="shared" si="4"/>
        <v>68.25</v>
      </c>
    </row>
    <row r="24" spans="2:22">
      <c r="B24" s="159"/>
      <c r="C24" s="12" t="s">
        <v>377</v>
      </c>
      <c r="D24" s="57">
        <v>10</v>
      </c>
      <c r="E24" s="63">
        <f t="shared" ref="E24:E26" si="11">D24/100</f>
        <v>0.1</v>
      </c>
      <c r="F24" s="108">
        <f t="shared" si="0"/>
        <v>19.5</v>
      </c>
      <c r="G24" s="12" t="s">
        <v>335</v>
      </c>
      <c r="H24" s="57">
        <v>15</v>
      </c>
      <c r="I24" s="14">
        <f t="shared" ref="I24:I25" si="12">H24/100</f>
        <v>0.15</v>
      </c>
      <c r="J24" s="108">
        <f t="shared" si="1"/>
        <v>29.25</v>
      </c>
      <c r="K24" s="55"/>
      <c r="L24" s="57"/>
      <c r="M24" s="58"/>
      <c r="N24" s="108">
        <f t="shared" si="2"/>
        <v>0</v>
      </c>
      <c r="O24" s="12" t="s">
        <v>370</v>
      </c>
      <c r="P24" s="54">
        <v>5</v>
      </c>
      <c r="Q24" s="13">
        <f>P24/30</f>
        <v>0.16666666666666666</v>
      </c>
      <c r="R24" s="108">
        <f t="shared" si="3"/>
        <v>9.75</v>
      </c>
      <c r="S24" s="12" t="s">
        <v>105</v>
      </c>
      <c r="T24" s="57">
        <v>15</v>
      </c>
      <c r="U24" s="13">
        <f>T24/30</f>
        <v>0.5</v>
      </c>
      <c r="V24" s="108">
        <f t="shared" si="4"/>
        <v>29.25</v>
      </c>
    </row>
    <row r="25" spans="2:22">
      <c r="B25" s="159"/>
      <c r="C25" s="12" t="s">
        <v>241</v>
      </c>
      <c r="D25" s="57">
        <v>20</v>
      </c>
      <c r="E25" s="63">
        <f t="shared" si="11"/>
        <v>0.2</v>
      </c>
      <c r="F25" s="108">
        <f t="shared" si="0"/>
        <v>39</v>
      </c>
      <c r="G25" s="12" t="s">
        <v>382</v>
      </c>
      <c r="H25" s="57">
        <v>15</v>
      </c>
      <c r="I25" s="14">
        <f t="shared" si="12"/>
        <v>0.15</v>
      </c>
      <c r="J25" s="108">
        <f t="shared" si="1"/>
        <v>29.25</v>
      </c>
      <c r="K25" s="12"/>
      <c r="L25" s="54"/>
      <c r="M25" s="19"/>
      <c r="N25" s="108">
        <f t="shared" si="2"/>
        <v>0</v>
      </c>
      <c r="O25" s="12" t="s">
        <v>69</v>
      </c>
      <c r="P25" s="54">
        <v>10</v>
      </c>
      <c r="Q25" s="63" t="e">
        <f>#REF!/100</f>
        <v>#REF!</v>
      </c>
      <c r="R25" s="108" t="e">
        <f>#REF!*1950/1000</f>
        <v>#REF!</v>
      </c>
      <c r="S25" s="12" t="s">
        <v>157</v>
      </c>
      <c r="T25" s="57">
        <v>20</v>
      </c>
      <c r="U25" s="19">
        <f>T25/55</f>
        <v>0.36363636363636365</v>
      </c>
      <c r="V25" s="108">
        <f t="shared" si="4"/>
        <v>39</v>
      </c>
    </row>
    <row r="26" spans="2:22">
      <c r="B26" s="159"/>
      <c r="C26" s="12"/>
      <c r="D26" s="57"/>
      <c r="E26" s="63">
        <f t="shared" si="11"/>
        <v>0</v>
      </c>
      <c r="F26" s="108">
        <f t="shared" si="0"/>
        <v>0</v>
      </c>
      <c r="G26" s="12" t="s">
        <v>56</v>
      </c>
      <c r="H26" s="57">
        <v>3</v>
      </c>
      <c r="I26" s="19">
        <f>H26/10</f>
        <v>0.3</v>
      </c>
      <c r="J26" s="108">
        <f t="shared" si="1"/>
        <v>5.85</v>
      </c>
      <c r="K26" s="12"/>
      <c r="L26" s="54"/>
      <c r="M26" s="19"/>
      <c r="N26" s="108">
        <f t="shared" si="2"/>
        <v>0</v>
      </c>
      <c r="O26" s="12" t="s">
        <v>371</v>
      </c>
      <c r="P26" s="54">
        <v>10</v>
      </c>
      <c r="Q26" s="63">
        <f>P25/100</f>
        <v>0.1</v>
      </c>
      <c r="R26" s="108">
        <f>P25*1950/1000</f>
        <v>19.5</v>
      </c>
      <c r="S26" s="12" t="s">
        <v>158</v>
      </c>
      <c r="T26" s="57">
        <v>10</v>
      </c>
      <c r="U26" s="63">
        <f t="shared" ref="U26" si="13">T26/100</f>
        <v>0.1</v>
      </c>
      <c r="V26" s="108">
        <f t="shared" si="4"/>
        <v>19.5</v>
      </c>
    </row>
    <row r="27" spans="2:22" ht="20.25" customHeight="1">
      <c r="B27" s="159"/>
      <c r="C27" s="55"/>
      <c r="D27" s="57"/>
      <c r="E27" s="56"/>
      <c r="F27" s="108">
        <f t="shared" si="0"/>
        <v>0</v>
      </c>
      <c r="G27" s="133" t="s">
        <v>336</v>
      </c>
      <c r="H27" s="57"/>
      <c r="I27" s="19">
        <f>H27/35</f>
        <v>0</v>
      </c>
      <c r="J27" s="108">
        <f t="shared" si="1"/>
        <v>0</v>
      </c>
      <c r="K27" s="55"/>
      <c r="L27" s="57"/>
      <c r="M27" s="58"/>
      <c r="N27" s="108">
        <f t="shared" si="2"/>
        <v>0</v>
      </c>
      <c r="O27" s="12" t="s">
        <v>372</v>
      </c>
      <c r="P27" s="54">
        <v>3</v>
      </c>
      <c r="Q27" s="56"/>
      <c r="R27" s="108">
        <f>P26*1950/1000</f>
        <v>19.5</v>
      </c>
      <c r="S27" s="55"/>
      <c r="T27" s="57"/>
      <c r="U27" s="56"/>
      <c r="V27" s="108">
        <f t="shared" si="4"/>
        <v>0</v>
      </c>
    </row>
    <row r="28" spans="2:22">
      <c r="B28" s="159"/>
      <c r="C28" s="55"/>
      <c r="D28" s="60"/>
      <c r="E28" s="59"/>
      <c r="F28" s="108">
        <f t="shared" si="0"/>
        <v>0</v>
      </c>
      <c r="G28" s="55"/>
      <c r="H28" s="57"/>
      <c r="I28" s="14">
        <f t="shared" ref="I28" si="14">H28/100</f>
        <v>0</v>
      </c>
      <c r="J28" s="108">
        <f t="shared" si="1"/>
        <v>0</v>
      </c>
      <c r="K28" s="55"/>
      <c r="L28" s="60"/>
      <c r="M28" s="60"/>
      <c r="N28" s="108">
        <f t="shared" si="2"/>
        <v>0</v>
      </c>
      <c r="O28" s="3"/>
      <c r="P28" s="50"/>
      <c r="Q28" s="59"/>
      <c r="R28" s="108">
        <f>P27*1950/1000</f>
        <v>5.85</v>
      </c>
      <c r="S28" s="55"/>
      <c r="T28" s="60"/>
      <c r="U28" s="59"/>
      <c r="V28" s="108">
        <f t="shared" si="4"/>
        <v>0</v>
      </c>
    </row>
    <row r="29" spans="2:22">
      <c r="B29" s="159"/>
      <c r="C29" s="61"/>
      <c r="D29" s="57"/>
      <c r="E29" s="56"/>
      <c r="F29" s="108">
        <f t="shared" si="0"/>
        <v>0</v>
      </c>
      <c r="G29" s="61"/>
      <c r="H29" s="57"/>
      <c r="I29" s="57"/>
      <c r="J29" s="108">
        <f t="shared" si="1"/>
        <v>0</v>
      </c>
      <c r="K29" s="61"/>
      <c r="L29" s="57"/>
      <c r="M29" s="57"/>
      <c r="N29" s="108">
        <f t="shared" si="2"/>
        <v>0</v>
      </c>
      <c r="O29" s="61"/>
      <c r="P29" s="57"/>
      <c r="Q29" s="56"/>
      <c r="R29" s="108">
        <f t="shared" si="3"/>
        <v>0</v>
      </c>
      <c r="S29" s="61"/>
      <c r="T29" s="57"/>
      <c r="U29" s="56"/>
      <c r="V29" s="108">
        <f t="shared" si="4"/>
        <v>0</v>
      </c>
    </row>
    <row r="30" spans="2:22">
      <c r="B30" s="159"/>
      <c r="C30" s="61"/>
      <c r="D30" s="57"/>
      <c r="E30" s="56"/>
      <c r="F30" s="108">
        <f t="shared" si="0"/>
        <v>0</v>
      </c>
      <c r="G30" s="61"/>
      <c r="H30" s="57"/>
      <c r="I30" s="57"/>
      <c r="J30" s="108">
        <f t="shared" si="1"/>
        <v>0</v>
      </c>
      <c r="K30" s="82"/>
      <c r="L30" s="84"/>
      <c r="M30" s="57"/>
      <c r="N30" s="108">
        <f t="shared" si="2"/>
        <v>0</v>
      </c>
      <c r="O30" s="61"/>
      <c r="P30" s="57"/>
      <c r="Q30" s="56"/>
      <c r="R30" s="108">
        <f t="shared" si="3"/>
        <v>0</v>
      </c>
      <c r="S30" s="61"/>
      <c r="T30" s="57"/>
      <c r="U30" s="56">
        <f>T23+T24+T25+T26+T27+T28+T29</f>
        <v>80</v>
      </c>
      <c r="V30" s="108">
        <f t="shared" si="4"/>
        <v>0</v>
      </c>
    </row>
    <row r="31" spans="2:22" ht="24" customHeight="1">
      <c r="B31" s="159" t="s">
        <v>18</v>
      </c>
      <c r="C31" s="157" t="s">
        <v>46</v>
      </c>
      <c r="D31" s="158"/>
      <c r="E31" s="86"/>
      <c r="F31" s="108">
        <f t="shared" si="0"/>
        <v>0</v>
      </c>
      <c r="G31" s="157" t="s">
        <v>46</v>
      </c>
      <c r="H31" s="158"/>
      <c r="I31" s="86"/>
      <c r="J31" s="108">
        <f t="shared" si="1"/>
        <v>0</v>
      </c>
      <c r="K31" s="157" t="s">
        <v>46</v>
      </c>
      <c r="L31" s="158"/>
      <c r="M31" s="86"/>
      <c r="N31" s="108">
        <f t="shared" si="2"/>
        <v>0</v>
      </c>
      <c r="O31" s="157" t="s">
        <v>46</v>
      </c>
      <c r="P31" s="158"/>
      <c r="Q31" s="86"/>
      <c r="R31" s="108">
        <f t="shared" si="3"/>
        <v>0</v>
      </c>
      <c r="S31" s="157" t="s">
        <v>46</v>
      </c>
      <c r="T31" s="160"/>
      <c r="U31" s="86"/>
      <c r="V31" s="108">
        <f t="shared" si="4"/>
        <v>0</v>
      </c>
    </row>
    <row r="32" spans="2:22">
      <c r="B32" s="159"/>
      <c r="C32" s="16" t="s">
        <v>47</v>
      </c>
      <c r="D32" s="6">
        <v>60</v>
      </c>
      <c r="E32" s="63">
        <f t="shared" ref="E32:E34" si="15">D32/100</f>
        <v>0.6</v>
      </c>
      <c r="F32" s="108">
        <f t="shared" si="0"/>
        <v>117</v>
      </c>
      <c r="G32" s="16" t="s">
        <v>47</v>
      </c>
      <c r="H32" s="6">
        <v>60</v>
      </c>
      <c r="I32" s="63">
        <f t="shared" ref="I32:I34" si="16">H32/100</f>
        <v>0.6</v>
      </c>
      <c r="J32" s="108">
        <f t="shared" si="1"/>
        <v>117</v>
      </c>
      <c r="K32" s="16" t="s">
        <v>47</v>
      </c>
      <c r="L32" s="6">
        <v>60</v>
      </c>
      <c r="M32" s="63">
        <f t="shared" ref="M32:M34" si="17">L32/100</f>
        <v>0.6</v>
      </c>
      <c r="N32" s="108">
        <f t="shared" si="2"/>
        <v>117</v>
      </c>
      <c r="O32" s="16" t="s">
        <v>47</v>
      </c>
      <c r="P32" s="6">
        <v>60</v>
      </c>
      <c r="Q32" s="63">
        <f t="shared" ref="Q32:Q34" si="18">P32/100</f>
        <v>0.6</v>
      </c>
      <c r="R32" s="108">
        <f t="shared" si="3"/>
        <v>117</v>
      </c>
      <c r="S32" s="16" t="s">
        <v>47</v>
      </c>
      <c r="T32" s="8">
        <v>60</v>
      </c>
      <c r="U32" s="63">
        <f t="shared" ref="U32:U34" si="19">T32/100</f>
        <v>0.6</v>
      </c>
      <c r="V32" s="108">
        <f t="shared" si="4"/>
        <v>117</v>
      </c>
    </row>
    <row r="33" spans="2:22">
      <c r="B33" s="159"/>
      <c r="C33" s="17" t="s">
        <v>138</v>
      </c>
      <c r="D33" s="7">
        <v>0.5</v>
      </c>
      <c r="E33" s="14">
        <f t="shared" si="15"/>
        <v>5.0000000000000001E-3</v>
      </c>
      <c r="F33" s="108">
        <f t="shared" si="0"/>
        <v>0.97499999999999998</v>
      </c>
      <c r="G33" s="17" t="s">
        <v>138</v>
      </c>
      <c r="H33" s="7">
        <v>0.5</v>
      </c>
      <c r="I33" s="14">
        <f t="shared" si="16"/>
        <v>5.0000000000000001E-3</v>
      </c>
      <c r="J33" s="108">
        <f t="shared" si="1"/>
        <v>0.97499999999999998</v>
      </c>
      <c r="K33" s="17" t="s">
        <v>138</v>
      </c>
      <c r="L33" s="7">
        <v>0.5</v>
      </c>
      <c r="M33" s="14">
        <f t="shared" si="17"/>
        <v>5.0000000000000001E-3</v>
      </c>
      <c r="N33" s="108">
        <f t="shared" si="2"/>
        <v>0.97499999999999998</v>
      </c>
      <c r="O33" s="17" t="s">
        <v>138</v>
      </c>
      <c r="P33" s="7">
        <v>0.5</v>
      </c>
      <c r="Q33" s="14">
        <f t="shared" si="18"/>
        <v>5.0000000000000001E-3</v>
      </c>
      <c r="R33" s="108">
        <f t="shared" si="3"/>
        <v>0.97499999999999998</v>
      </c>
      <c r="S33" s="17" t="s">
        <v>138</v>
      </c>
      <c r="T33" s="9">
        <v>0.5</v>
      </c>
      <c r="U33" s="14">
        <f t="shared" si="19"/>
        <v>5.0000000000000001E-3</v>
      </c>
      <c r="V33" s="108">
        <f t="shared" si="4"/>
        <v>0.97499999999999998</v>
      </c>
    </row>
    <row r="34" spans="2:22">
      <c r="B34" s="159"/>
      <c r="C34" s="17" t="s">
        <v>137</v>
      </c>
      <c r="D34" s="7">
        <v>0.5</v>
      </c>
      <c r="E34" s="14">
        <f t="shared" si="15"/>
        <v>5.0000000000000001E-3</v>
      </c>
      <c r="F34" s="108">
        <f t="shared" si="0"/>
        <v>0.97499999999999998</v>
      </c>
      <c r="G34" s="17" t="s">
        <v>137</v>
      </c>
      <c r="H34" s="7">
        <v>0.5</v>
      </c>
      <c r="I34" s="14">
        <f t="shared" si="16"/>
        <v>5.0000000000000001E-3</v>
      </c>
      <c r="J34" s="108">
        <f t="shared" si="1"/>
        <v>0.97499999999999998</v>
      </c>
      <c r="K34" s="17" t="s">
        <v>137</v>
      </c>
      <c r="L34" s="7">
        <v>0.5</v>
      </c>
      <c r="M34" s="14">
        <f t="shared" si="17"/>
        <v>5.0000000000000001E-3</v>
      </c>
      <c r="N34" s="108">
        <f t="shared" si="2"/>
        <v>0.97499999999999998</v>
      </c>
      <c r="O34" s="17" t="s">
        <v>137</v>
      </c>
      <c r="P34" s="7">
        <v>0.5</v>
      </c>
      <c r="Q34" s="14">
        <f t="shared" si="18"/>
        <v>5.0000000000000001E-3</v>
      </c>
      <c r="R34" s="108">
        <f t="shared" si="3"/>
        <v>0.97499999999999998</v>
      </c>
      <c r="S34" s="17" t="s">
        <v>137</v>
      </c>
      <c r="T34" s="9">
        <v>0.5</v>
      </c>
      <c r="U34" s="14">
        <f t="shared" si="19"/>
        <v>5.0000000000000001E-3</v>
      </c>
      <c r="V34" s="108">
        <f t="shared" si="4"/>
        <v>0.97499999999999998</v>
      </c>
    </row>
    <row r="35" spans="2:22">
      <c r="B35" s="159"/>
      <c r="C35" s="17"/>
      <c r="D35" s="9"/>
      <c r="E35" s="15"/>
      <c r="F35" s="108">
        <f t="shared" si="0"/>
        <v>0</v>
      </c>
      <c r="G35" s="17"/>
      <c r="H35" s="9"/>
      <c r="I35" s="15"/>
      <c r="J35" s="108">
        <f t="shared" si="1"/>
        <v>0</v>
      </c>
      <c r="K35" s="17"/>
      <c r="L35" s="7"/>
      <c r="M35" s="15"/>
      <c r="N35" s="108">
        <f t="shared" si="2"/>
        <v>0</v>
      </c>
      <c r="O35" s="17"/>
      <c r="P35" s="9"/>
      <c r="Q35" s="15"/>
      <c r="R35" s="108">
        <f t="shared" si="3"/>
        <v>0</v>
      </c>
      <c r="S35" s="17"/>
      <c r="T35" s="9"/>
      <c r="U35" s="15"/>
      <c r="V35" s="108">
        <f t="shared" si="4"/>
        <v>0</v>
      </c>
    </row>
    <row r="36" spans="2:22" ht="24" customHeight="1">
      <c r="B36" s="159"/>
      <c r="C36" s="17"/>
      <c r="D36" s="9"/>
      <c r="E36" s="64"/>
      <c r="F36" s="108">
        <f t="shared" si="0"/>
        <v>0</v>
      </c>
      <c r="G36" s="17"/>
      <c r="H36" s="9"/>
      <c r="I36" s="64"/>
      <c r="J36" s="108">
        <f t="shared" si="1"/>
        <v>0</v>
      </c>
      <c r="K36" s="17"/>
      <c r="L36" s="7"/>
      <c r="M36" s="64"/>
      <c r="N36" s="108">
        <f t="shared" si="2"/>
        <v>0</v>
      </c>
      <c r="O36" s="17"/>
      <c r="P36" s="9"/>
      <c r="Q36" s="64"/>
      <c r="R36" s="108">
        <f t="shared" si="3"/>
        <v>0</v>
      </c>
      <c r="S36" s="17"/>
      <c r="T36" s="9"/>
      <c r="U36" s="64"/>
      <c r="V36" s="108">
        <f t="shared" si="4"/>
        <v>0</v>
      </c>
    </row>
    <row r="37" spans="2:22">
      <c r="B37" s="159" t="s">
        <v>2</v>
      </c>
      <c r="C37" s="157" t="s">
        <v>68</v>
      </c>
      <c r="D37" s="160"/>
      <c r="E37" s="138"/>
      <c r="F37" s="108">
        <f t="shared" si="0"/>
        <v>0</v>
      </c>
      <c r="G37" s="157" t="s">
        <v>245</v>
      </c>
      <c r="H37" s="160"/>
      <c r="I37" s="138"/>
      <c r="J37" s="108">
        <f t="shared" si="1"/>
        <v>0</v>
      </c>
      <c r="K37" s="157" t="s">
        <v>265</v>
      </c>
      <c r="L37" s="160"/>
      <c r="M37" s="138"/>
      <c r="N37" s="108">
        <f t="shared" si="2"/>
        <v>0</v>
      </c>
      <c r="O37" s="157" t="s">
        <v>90</v>
      </c>
      <c r="P37" s="160"/>
      <c r="Q37" s="138"/>
      <c r="R37" s="108">
        <f t="shared" si="3"/>
        <v>0</v>
      </c>
      <c r="S37" s="157" t="s">
        <v>276</v>
      </c>
      <c r="T37" s="160"/>
      <c r="U37" s="102"/>
      <c r="V37" s="108">
        <f t="shared" si="4"/>
        <v>0</v>
      </c>
    </row>
    <row r="38" spans="2:22">
      <c r="B38" s="159"/>
      <c r="C38" s="10" t="s">
        <v>70</v>
      </c>
      <c r="D38" s="52">
        <v>10</v>
      </c>
      <c r="E38" s="14">
        <f t="shared" ref="E38" si="20">D38/100</f>
        <v>0.1</v>
      </c>
      <c r="F38" s="108">
        <f>D38*1950/1000/0.6</f>
        <v>32.5</v>
      </c>
      <c r="G38" s="10" t="s">
        <v>81</v>
      </c>
      <c r="H38" s="52">
        <v>2</v>
      </c>
      <c r="I38" s="14">
        <f t="shared" ref="I38:I39" si="21">H38/100</f>
        <v>0.02</v>
      </c>
      <c r="J38" s="108">
        <f t="shared" si="1"/>
        <v>3.9</v>
      </c>
      <c r="K38" s="10" t="s">
        <v>266</v>
      </c>
      <c r="L38" s="52">
        <v>10</v>
      </c>
      <c r="M38" s="14">
        <f t="shared" ref="M38:M40" si="22">L38/100</f>
        <v>0.1</v>
      </c>
      <c r="N38" s="108">
        <f>L38*1950/1000/0.6</f>
        <v>32.5</v>
      </c>
      <c r="O38" s="10" t="s">
        <v>155</v>
      </c>
      <c r="P38" s="52">
        <v>0.5</v>
      </c>
      <c r="Q38" s="14">
        <f t="shared" ref="Q38:Q40" si="23">P38/100</f>
        <v>5.0000000000000001E-3</v>
      </c>
      <c r="R38" s="108">
        <f t="shared" si="3"/>
        <v>0.97499999999999998</v>
      </c>
      <c r="S38" s="10" t="s">
        <v>277</v>
      </c>
      <c r="T38" s="62">
        <v>20</v>
      </c>
      <c r="U38" s="19"/>
      <c r="V38" s="108">
        <f t="shared" si="4"/>
        <v>39</v>
      </c>
    </row>
    <row r="39" spans="2:22">
      <c r="B39" s="159"/>
      <c r="C39" s="12" t="s">
        <v>69</v>
      </c>
      <c r="D39" s="54">
        <v>8</v>
      </c>
      <c r="E39" s="18">
        <f>D39/20</f>
        <v>0.4</v>
      </c>
      <c r="F39" s="108">
        <f t="shared" si="0"/>
        <v>15.6</v>
      </c>
      <c r="G39" s="12" t="s">
        <v>80</v>
      </c>
      <c r="H39" s="54">
        <v>40</v>
      </c>
      <c r="I39" s="14">
        <f t="shared" si="21"/>
        <v>0.4</v>
      </c>
      <c r="J39" s="108">
        <f t="shared" si="1"/>
        <v>78</v>
      </c>
      <c r="K39" s="12" t="s">
        <v>267</v>
      </c>
      <c r="L39" s="54">
        <v>20</v>
      </c>
      <c r="M39" s="14">
        <f t="shared" si="22"/>
        <v>0.2</v>
      </c>
      <c r="N39" s="108">
        <f t="shared" si="2"/>
        <v>39</v>
      </c>
      <c r="O39" s="12" t="s">
        <v>149</v>
      </c>
      <c r="P39" s="54">
        <v>8</v>
      </c>
      <c r="Q39" s="19">
        <f>P39/60</f>
        <v>0.13333333333333333</v>
      </c>
      <c r="R39" s="108">
        <f t="shared" si="3"/>
        <v>15.6</v>
      </c>
      <c r="S39" s="12" t="s">
        <v>278</v>
      </c>
      <c r="T39" s="57">
        <v>10</v>
      </c>
      <c r="U39" s="19"/>
      <c r="V39" s="108">
        <f t="shared" si="4"/>
        <v>19.5</v>
      </c>
    </row>
    <row r="40" spans="2:22">
      <c r="B40" s="159"/>
      <c r="C40" s="12" t="s">
        <v>89</v>
      </c>
      <c r="D40" s="54">
        <v>5</v>
      </c>
      <c r="E40" s="19">
        <f>D40/35</f>
        <v>0.14285714285714285</v>
      </c>
      <c r="F40" s="108">
        <f t="shared" si="0"/>
        <v>9.75</v>
      </c>
      <c r="G40" s="12" t="s">
        <v>246</v>
      </c>
      <c r="H40" s="54">
        <v>10</v>
      </c>
      <c r="I40" s="19">
        <f>H40*0.2/35</f>
        <v>5.7142857142857141E-2</v>
      </c>
      <c r="J40" s="108">
        <f t="shared" si="1"/>
        <v>19.5</v>
      </c>
      <c r="K40" s="12" t="s">
        <v>268</v>
      </c>
      <c r="L40" s="54">
        <v>10</v>
      </c>
      <c r="M40" s="14">
        <f t="shared" si="22"/>
        <v>0.1</v>
      </c>
      <c r="N40" s="108">
        <f t="shared" si="2"/>
        <v>19.5</v>
      </c>
      <c r="O40" s="12"/>
      <c r="P40" s="54"/>
      <c r="Q40" s="14">
        <f t="shared" si="23"/>
        <v>0</v>
      </c>
      <c r="R40" s="108">
        <f t="shared" si="3"/>
        <v>0</v>
      </c>
      <c r="S40" s="12"/>
      <c r="T40" s="57"/>
      <c r="U40" s="19"/>
      <c r="V40" s="108">
        <f t="shared" si="4"/>
        <v>0</v>
      </c>
    </row>
    <row r="41" spans="2:22">
      <c r="B41" s="159"/>
      <c r="C41" s="12" t="s">
        <v>79</v>
      </c>
      <c r="D41" s="57">
        <v>2</v>
      </c>
      <c r="E41" s="63">
        <f t="shared" ref="E41" si="24">D41/100</f>
        <v>0.02</v>
      </c>
      <c r="F41" s="108">
        <f t="shared" si="0"/>
        <v>3.9</v>
      </c>
      <c r="G41" s="12" t="s">
        <v>247</v>
      </c>
      <c r="H41" s="54">
        <v>1</v>
      </c>
      <c r="I41" s="19"/>
      <c r="J41" s="108">
        <f t="shared" si="1"/>
        <v>1.95</v>
      </c>
      <c r="K41" s="12"/>
      <c r="L41" s="54"/>
      <c r="M41" s="19">
        <f>L41/55</f>
        <v>0</v>
      </c>
      <c r="N41" s="108">
        <f t="shared" si="2"/>
        <v>0</v>
      </c>
      <c r="O41" s="12"/>
      <c r="P41" s="54"/>
      <c r="Q41" s="19"/>
      <c r="R41" s="108">
        <f t="shared" si="3"/>
        <v>0</v>
      </c>
      <c r="S41" s="12"/>
      <c r="T41" s="57"/>
      <c r="U41" s="19"/>
      <c r="V41" s="108">
        <f t="shared" si="4"/>
        <v>0</v>
      </c>
    </row>
    <row r="42" spans="2:22" ht="20.25" customHeight="1">
      <c r="B42" s="159"/>
      <c r="C42" s="12"/>
      <c r="D42" s="54"/>
      <c r="E42" s="19"/>
      <c r="F42" s="108">
        <f t="shared" si="0"/>
        <v>0</v>
      </c>
      <c r="G42" s="12"/>
      <c r="H42" s="54"/>
      <c r="I42" s="19"/>
      <c r="J42" s="108">
        <f t="shared" si="1"/>
        <v>0</v>
      </c>
      <c r="K42" s="12"/>
      <c r="L42" s="54"/>
      <c r="M42" s="14">
        <f t="shared" ref="M42" si="25">L42/100</f>
        <v>0</v>
      </c>
      <c r="N42" s="108">
        <f t="shared" si="2"/>
        <v>0</v>
      </c>
      <c r="O42" s="12"/>
      <c r="P42" s="54"/>
      <c r="Q42" s="19"/>
      <c r="R42" s="108">
        <f t="shared" si="3"/>
        <v>0</v>
      </c>
      <c r="S42" s="12"/>
      <c r="T42" s="57"/>
      <c r="U42" s="19"/>
      <c r="V42" s="108">
        <f t="shared" si="4"/>
        <v>0</v>
      </c>
    </row>
    <row r="43" spans="2:22">
      <c r="B43" s="159"/>
      <c r="C43" s="12"/>
      <c r="D43" s="54"/>
      <c r="E43" s="59"/>
      <c r="F43" s="108">
        <f t="shared" si="0"/>
        <v>0</v>
      </c>
      <c r="G43" s="12"/>
      <c r="H43" s="54"/>
      <c r="I43" s="59"/>
      <c r="J43" s="108">
        <f t="shared" si="1"/>
        <v>0</v>
      </c>
      <c r="K43" s="55"/>
      <c r="L43" s="54"/>
      <c r="M43" s="19">
        <f>L43/15</f>
        <v>0</v>
      </c>
      <c r="N43" s="108">
        <f>L43*1950/1000/0.6</f>
        <v>0</v>
      </c>
      <c r="O43" s="12"/>
      <c r="P43" s="54"/>
      <c r="Q43" s="59"/>
      <c r="R43" s="108">
        <f t="shared" si="3"/>
        <v>0</v>
      </c>
      <c r="S43" s="12"/>
      <c r="T43" s="57"/>
      <c r="U43" s="59"/>
      <c r="V43" s="108">
        <f t="shared" si="4"/>
        <v>0</v>
      </c>
    </row>
    <row r="44" spans="2:22">
      <c r="B44" s="159"/>
      <c r="C44" s="17"/>
      <c r="D44" s="47"/>
      <c r="E44" s="56">
        <f>D44+D38+D39+D40+D41+D42+D43</f>
        <v>25</v>
      </c>
      <c r="F44" s="108">
        <f t="shared" si="0"/>
        <v>0</v>
      </c>
      <c r="G44" s="17"/>
      <c r="H44" s="47"/>
      <c r="I44" s="56">
        <f>H44+H38+H39+H40+H41+H42+H43</f>
        <v>53</v>
      </c>
      <c r="J44" s="108">
        <f t="shared" si="1"/>
        <v>0</v>
      </c>
      <c r="K44" s="17"/>
      <c r="L44" s="47"/>
      <c r="M44" s="56">
        <f>L44+L38+L39+L40+L41+L42+L43</f>
        <v>40</v>
      </c>
      <c r="N44" s="108">
        <f t="shared" si="2"/>
        <v>0</v>
      </c>
      <c r="O44" s="17"/>
      <c r="P44" s="47"/>
      <c r="Q44" s="56">
        <f>P44+P38+P39+P40+P41+P42+P43</f>
        <v>8.5</v>
      </c>
      <c r="R44" s="108">
        <f t="shared" si="3"/>
        <v>0</v>
      </c>
      <c r="S44" s="17"/>
      <c r="T44" s="48"/>
      <c r="U44" s="56">
        <f>T44+T38+T39+T40+T41+T42+T43</f>
        <v>30</v>
      </c>
      <c r="V44" s="108">
        <f t="shared" si="4"/>
        <v>0</v>
      </c>
    </row>
    <row r="45" spans="2:22" ht="24" customHeight="1">
      <c r="B45" s="66" t="s">
        <v>20</v>
      </c>
      <c r="C45" s="161"/>
      <c r="D45" s="162"/>
      <c r="E45" s="67"/>
      <c r="F45" s="109"/>
      <c r="G45" s="161" t="s">
        <v>383</v>
      </c>
      <c r="H45" s="162"/>
      <c r="I45" s="67"/>
      <c r="J45" s="109"/>
      <c r="K45" s="161"/>
      <c r="L45" s="162"/>
      <c r="M45" s="67"/>
      <c r="N45" s="109"/>
      <c r="O45" s="161" t="s">
        <v>361</v>
      </c>
      <c r="P45" s="162"/>
      <c r="Q45" s="67"/>
      <c r="R45" s="109"/>
      <c r="S45" s="161"/>
      <c r="T45" s="162"/>
      <c r="U45" s="67"/>
      <c r="V45" s="109"/>
    </row>
    <row r="46" spans="2:22" ht="21.75" customHeight="1">
      <c r="B46" s="163"/>
      <c r="C46" s="68" t="s">
        <v>24</v>
      </c>
      <c r="D46" s="44">
        <v>4.3</v>
      </c>
      <c r="E46" s="69">
        <f>E5+E39</f>
        <v>4.6500000000000004</v>
      </c>
      <c r="F46" s="110"/>
      <c r="G46" s="68" t="s">
        <v>24</v>
      </c>
      <c r="H46" s="44">
        <v>4.2</v>
      </c>
      <c r="I46" s="69">
        <f>I5+I6+I16+I23</f>
        <v>7.583333333333333</v>
      </c>
      <c r="J46" s="110"/>
      <c r="K46" s="68" t="s">
        <v>24</v>
      </c>
      <c r="L46" s="44">
        <v>4.4000000000000004</v>
      </c>
      <c r="M46" s="69">
        <f>M5+M23</f>
        <v>5.3333333333333339</v>
      </c>
      <c r="N46" s="110"/>
      <c r="O46" s="68" t="s">
        <v>24</v>
      </c>
      <c r="P46" s="70">
        <f t="shared" ref="P46" si="26">Q46</f>
        <v>4.25</v>
      </c>
      <c r="Q46" s="69">
        <f>Q5+Q6</f>
        <v>4.25</v>
      </c>
      <c r="R46" s="110"/>
      <c r="S46" s="68" t="s">
        <v>24</v>
      </c>
      <c r="T46" s="70">
        <f t="shared" ref="T46" si="27">U46</f>
        <v>4.2727272727272725</v>
      </c>
      <c r="U46" s="69">
        <f>U5+U6+U24</f>
        <v>4.2727272727272725</v>
      </c>
      <c r="V46" s="110"/>
    </row>
    <row r="47" spans="2:22">
      <c r="B47" s="164"/>
      <c r="C47" s="71" t="s">
        <v>25</v>
      </c>
      <c r="D47" s="44">
        <f t="shared" ref="D46:D50" si="28">E47</f>
        <v>0</v>
      </c>
      <c r="E47" s="69">
        <v>0</v>
      </c>
      <c r="F47" s="110"/>
      <c r="G47" s="71" t="s">
        <v>25</v>
      </c>
      <c r="H47" s="44">
        <f t="shared" ref="H47:H49" si="29">I47</f>
        <v>0</v>
      </c>
      <c r="I47" s="69"/>
      <c r="J47" s="110"/>
      <c r="K47" s="71" t="s">
        <v>25</v>
      </c>
      <c r="L47" s="44">
        <f t="shared" ref="L46:L51" si="30">M47</f>
        <v>0</v>
      </c>
      <c r="M47" s="69"/>
      <c r="N47" s="110"/>
      <c r="O47" s="71" t="s">
        <v>25</v>
      </c>
      <c r="P47" s="70">
        <f>Q47</f>
        <v>0</v>
      </c>
      <c r="Q47" s="69"/>
      <c r="R47" s="110"/>
      <c r="S47" s="71" t="s">
        <v>25</v>
      </c>
      <c r="T47" s="70">
        <f>U47</f>
        <v>0</v>
      </c>
      <c r="U47" s="69"/>
      <c r="V47" s="110"/>
    </row>
    <row r="48" spans="2:22">
      <c r="B48" s="164"/>
      <c r="C48" s="71" t="s">
        <v>4</v>
      </c>
      <c r="D48" s="44">
        <f t="shared" si="28"/>
        <v>2.2928571428571427</v>
      </c>
      <c r="E48" s="69">
        <f>E14+E13+E12+E23+E28+E40</f>
        <v>2.2928571428571427</v>
      </c>
      <c r="F48" s="110"/>
      <c r="G48" s="71" t="s">
        <v>4</v>
      </c>
      <c r="H48" s="44">
        <v>2.2999999999999998</v>
      </c>
      <c r="I48" s="69">
        <f>I40+I27+I26+I14</f>
        <v>1.9321428571428569</v>
      </c>
      <c r="J48" s="110"/>
      <c r="K48" s="71" t="s">
        <v>4</v>
      </c>
      <c r="L48" s="44">
        <v>2.5</v>
      </c>
      <c r="M48" s="69">
        <f>M41+M24+M27+M14+M43+M28</f>
        <v>1.7142857142857142</v>
      </c>
      <c r="N48" s="110"/>
      <c r="O48" s="71" t="s">
        <v>4</v>
      </c>
      <c r="P48" s="70">
        <v>3</v>
      </c>
      <c r="Q48" s="69">
        <f>Q39+Q14+Q17</f>
        <v>1.1969696969696968</v>
      </c>
      <c r="R48" s="110"/>
      <c r="S48" s="71" t="s">
        <v>4</v>
      </c>
      <c r="T48" s="70">
        <f>U48</f>
        <v>2.1850649350649349</v>
      </c>
      <c r="U48" s="69">
        <f>U25+U14+U18</f>
        <v>2.1850649350649349</v>
      </c>
      <c r="V48" s="110"/>
    </row>
    <row r="49" spans="2:22">
      <c r="B49" s="164"/>
      <c r="C49" s="71" t="s">
        <v>5</v>
      </c>
      <c r="D49" s="44">
        <v>1.7</v>
      </c>
      <c r="E49" s="69">
        <f>E41+E38+E34+E33+E32+E26+E25+E24</f>
        <v>1.03</v>
      </c>
      <c r="F49" s="110"/>
      <c r="G49" s="71" t="s">
        <v>5</v>
      </c>
      <c r="H49" s="44">
        <v>1.3</v>
      </c>
      <c r="I49" s="69">
        <f>I39+I38+I34+I33+I32+I28+I25+I24+I15+I17</f>
        <v>1.48</v>
      </c>
      <c r="J49" s="110"/>
      <c r="K49" s="71" t="s">
        <v>5</v>
      </c>
      <c r="L49" s="44">
        <v>2.1</v>
      </c>
      <c r="M49" s="69">
        <f>M42+M40+M39+M38+M34+M33+M32</f>
        <v>1.01</v>
      </c>
      <c r="N49" s="110"/>
      <c r="O49" s="71" t="s">
        <v>5</v>
      </c>
      <c r="P49" s="70">
        <v>2.1</v>
      </c>
      <c r="Q49" s="69" t="e">
        <f>Q40+Q38+Q34+Q33+Q32+Q23+Q25+Q26+Q15+Q16</f>
        <v>#REF!</v>
      </c>
      <c r="R49" s="110"/>
      <c r="S49" s="71" t="s">
        <v>5</v>
      </c>
      <c r="T49" s="70">
        <v>1.8</v>
      </c>
      <c r="U49" s="69">
        <f>U34+U33+U32+U26+U23+U17+U16+U15</f>
        <v>1.54</v>
      </c>
      <c r="V49" s="110"/>
    </row>
    <row r="50" spans="2:22">
      <c r="B50" s="164"/>
      <c r="C50" s="71" t="s">
        <v>6</v>
      </c>
      <c r="D50" s="44">
        <f t="shared" si="28"/>
        <v>0</v>
      </c>
      <c r="E50" s="69"/>
      <c r="F50" s="110"/>
      <c r="G50" s="71" t="s">
        <v>6</v>
      </c>
      <c r="H50" s="44">
        <v>1</v>
      </c>
      <c r="I50" s="69"/>
      <c r="J50" s="110"/>
      <c r="K50" s="71" t="s">
        <v>6</v>
      </c>
      <c r="L50" s="44">
        <f t="shared" si="30"/>
        <v>0</v>
      </c>
      <c r="M50" s="69"/>
      <c r="N50" s="110"/>
      <c r="O50" s="71" t="s">
        <v>6</v>
      </c>
      <c r="P50" s="70">
        <f>Q50</f>
        <v>0</v>
      </c>
      <c r="Q50" s="69"/>
      <c r="R50" s="110"/>
      <c r="S50" s="71" t="s">
        <v>6</v>
      </c>
      <c r="T50" s="70">
        <f>U50</f>
        <v>0</v>
      </c>
      <c r="U50" s="69"/>
      <c r="V50" s="110"/>
    </row>
    <row r="51" spans="2:22" ht="18.75" customHeight="1">
      <c r="B51" s="164"/>
      <c r="C51" s="153" t="s">
        <v>7</v>
      </c>
      <c r="D51" s="44">
        <f>E51</f>
        <v>2.5</v>
      </c>
      <c r="E51" s="69">
        <v>2.5</v>
      </c>
      <c r="F51" s="104"/>
      <c r="G51" s="153" t="s">
        <v>7</v>
      </c>
      <c r="H51" s="44">
        <f>I51</f>
        <v>2.5</v>
      </c>
      <c r="I51" s="69">
        <v>2.5</v>
      </c>
      <c r="J51" s="104"/>
      <c r="K51" s="153" t="s">
        <v>7</v>
      </c>
      <c r="L51" s="44">
        <v>2.5</v>
      </c>
      <c r="M51" s="69">
        <v>2.5</v>
      </c>
      <c r="N51" s="110"/>
      <c r="O51" s="153" t="s">
        <v>7</v>
      </c>
      <c r="P51" s="70">
        <f>Q51</f>
        <v>2.5</v>
      </c>
      <c r="Q51" s="69">
        <v>2.5</v>
      </c>
      <c r="R51" s="110"/>
      <c r="S51" s="153" t="s">
        <v>7</v>
      </c>
      <c r="T51" s="70">
        <f>U51</f>
        <v>2.5</v>
      </c>
      <c r="U51" s="69">
        <v>2.5</v>
      </c>
      <c r="V51" s="110"/>
    </row>
    <row r="52" spans="2:22">
      <c r="B52" s="164"/>
      <c r="C52" s="153"/>
      <c r="D52" s="44"/>
      <c r="E52" s="69">
        <v>0</v>
      </c>
      <c r="F52" s="104"/>
      <c r="G52" s="153"/>
      <c r="H52" s="44"/>
      <c r="I52" s="69">
        <v>0</v>
      </c>
      <c r="J52" s="104"/>
      <c r="K52" s="153"/>
      <c r="L52" s="44"/>
      <c r="M52" s="69">
        <v>0</v>
      </c>
      <c r="N52" s="110"/>
      <c r="O52" s="153"/>
      <c r="P52" s="70"/>
      <c r="Q52" s="69">
        <v>0</v>
      </c>
      <c r="R52" s="110"/>
      <c r="S52" s="153"/>
      <c r="T52" s="70"/>
      <c r="U52" s="69">
        <v>0</v>
      </c>
      <c r="V52" s="110"/>
    </row>
    <row r="53" spans="2:22">
      <c r="B53" s="165"/>
      <c r="C53" s="72" t="s">
        <v>8</v>
      </c>
      <c r="D53" s="73">
        <f t="shared" ref="D53" si="31">D46*70+D47*120+D48*75+D49*25+D50*60+D51*45</f>
        <v>627.96428571428567</v>
      </c>
      <c r="E53" s="74"/>
      <c r="F53" s="111"/>
      <c r="G53" s="72" t="s">
        <v>8</v>
      </c>
      <c r="H53" s="73">
        <f>H46*70+H47*120+H48*75+H49*25+H50*60+I51*45</f>
        <v>671.5</v>
      </c>
      <c r="I53" s="74"/>
      <c r="J53" s="111"/>
      <c r="K53" s="72" t="s">
        <v>8</v>
      </c>
      <c r="L53" s="73">
        <v>689.3</v>
      </c>
      <c r="M53" s="74"/>
      <c r="N53" s="111"/>
      <c r="O53" s="72" t="s">
        <v>8</v>
      </c>
      <c r="P53" s="75">
        <v>720.1</v>
      </c>
      <c r="Q53" s="74"/>
      <c r="R53" s="111"/>
      <c r="S53" s="72" t="s">
        <v>8</v>
      </c>
      <c r="T53" s="75">
        <v>654.79999999999995</v>
      </c>
      <c r="U53" s="74"/>
      <c r="V53" s="111"/>
    </row>
    <row r="54" spans="2:22">
      <c r="B54" s="76"/>
    </row>
    <row r="55" spans="2:22">
      <c r="B55" s="76"/>
    </row>
    <row r="56" spans="2:22">
      <c r="B56" s="76"/>
    </row>
  </sheetData>
  <mergeCells count="48">
    <mergeCell ref="B1:T1"/>
    <mergeCell ref="S3:T3"/>
    <mergeCell ref="B4:B12"/>
    <mergeCell ref="C4:D4"/>
    <mergeCell ref="G4:H4"/>
    <mergeCell ref="K4:L4"/>
    <mergeCell ref="O4:P4"/>
    <mergeCell ref="S4:T4"/>
    <mergeCell ref="G2:H2"/>
    <mergeCell ref="C3:D3"/>
    <mergeCell ref="G3:H3"/>
    <mergeCell ref="K3:L3"/>
    <mergeCell ref="O3:P3"/>
    <mergeCell ref="S22:T22"/>
    <mergeCell ref="B13:B21"/>
    <mergeCell ref="C13:D13"/>
    <mergeCell ref="G13:H13"/>
    <mergeCell ref="K13:L13"/>
    <mergeCell ref="O13:P13"/>
    <mergeCell ref="S13:T13"/>
    <mergeCell ref="B22:B30"/>
    <mergeCell ref="C22:D22"/>
    <mergeCell ref="G22:H22"/>
    <mergeCell ref="K22:L22"/>
    <mergeCell ref="O22:P22"/>
    <mergeCell ref="S37:T37"/>
    <mergeCell ref="B31:B36"/>
    <mergeCell ref="C31:D31"/>
    <mergeCell ref="G31:H31"/>
    <mergeCell ref="K31:L31"/>
    <mergeCell ref="O31:P31"/>
    <mergeCell ref="S31:T31"/>
    <mergeCell ref="B37:B44"/>
    <mergeCell ref="C37:D37"/>
    <mergeCell ref="G37:H37"/>
    <mergeCell ref="K37:L37"/>
    <mergeCell ref="O37:P37"/>
    <mergeCell ref="B46:B53"/>
    <mergeCell ref="C51:C52"/>
    <mergeCell ref="G51:G52"/>
    <mergeCell ref="K51:K52"/>
    <mergeCell ref="O51:O52"/>
    <mergeCell ref="S51:S52"/>
    <mergeCell ref="C45:D45"/>
    <mergeCell ref="G45:H45"/>
    <mergeCell ref="K45:L45"/>
    <mergeCell ref="O45:P45"/>
    <mergeCell ref="S45:T45"/>
  </mergeCells>
  <phoneticPr fontId="2" type="noConversion"/>
  <printOptions horizontalCentered="1" verticalCentered="1"/>
  <pageMargins left="0" right="0" top="0" bottom="0" header="0.31496062992125984" footer="0.31496062992125984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V56"/>
  <sheetViews>
    <sheetView view="pageBreakPreview" topLeftCell="A34" zoomScaleNormal="85" zoomScaleSheetLayoutView="100" workbookViewId="0">
      <selection activeCell="T47" sqref="T47"/>
    </sheetView>
  </sheetViews>
  <sheetFormatPr defaultColWidth="9" defaultRowHeight="19.5"/>
  <cols>
    <col min="1" max="1" width="0.75" style="5" customWidth="1"/>
    <col min="2" max="2" width="7.625" style="79" customWidth="1"/>
    <col min="3" max="3" width="9.125" style="5" customWidth="1"/>
    <col min="4" max="4" width="9.125" style="77" customWidth="1"/>
    <col min="5" max="5" width="9.125" style="77" hidden="1" customWidth="1"/>
    <col min="6" max="6" width="9.125" style="112" hidden="1" customWidth="1"/>
    <col min="7" max="7" width="9.125" style="5" customWidth="1"/>
    <col min="8" max="8" width="9.125" style="77" customWidth="1"/>
    <col min="9" max="9" width="9.125" style="77" hidden="1" customWidth="1"/>
    <col min="10" max="10" width="9.125" style="112" hidden="1" customWidth="1"/>
    <col min="11" max="11" width="9.125" style="5" customWidth="1"/>
    <col min="12" max="12" width="9.125" style="77" customWidth="1"/>
    <col min="13" max="13" width="9.125" style="77" hidden="1" customWidth="1"/>
    <col min="14" max="14" width="9.125" style="112" hidden="1" customWidth="1"/>
    <col min="15" max="15" width="9.125" style="5" customWidth="1"/>
    <col min="16" max="16" width="9.125" style="78" customWidth="1"/>
    <col min="17" max="17" width="9.125" style="5" hidden="1" customWidth="1"/>
    <col min="18" max="18" width="9.125" style="112" hidden="1" customWidth="1"/>
    <col min="19" max="19" width="9.125" style="5" customWidth="1"/>
    <col min="20" max="20" width="9.125" style="78" customWidth="1"/>
    <col min="21" max="21" width="9.125" style="5" hidden="1" customWidth="1"/>
    <col min="22" max="22" width="9.125" style="112" hidden="1" customWidth="1"/>
    <col min="23" max="16384" width="9" style="5"/>
  </cols>
  <sheetData>
    <row r="1" spans="2:22" s="3" customFormat="1">
      <c r="B1" s="151" t="s">
        <v>379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S1" s="152"/>
      <c r="T1" s="152"/>
      <c r="U1" s="43"/>
      <c r="V1" s="43"/>
    </row>
    <row r="2" spans="2:22" s="3" customFormat="1" ht="18.75" customHeight="1">
      <c r="B2" s="20" t="s">
        <v>0</v>
      </c>
      <c r="C2" s="4"/>
      <c r="D2" s="44"/>
      <c r="E2" s="44"/>
      <c r="F2" s="106"/>
      <c r="G2" s="154"/>
      <c r="H2" s="154"/>
      <c r="I2" s="44"/>
      <c r="J2" s="106"/>
      <c r="K2" s="4"/>
      <c r="L2" s="44"/>
      <c r="M2" s="44"/>
      <c r="N2" s="106"/>
      <c r="O2" s="42"/>
      <c r="P2" s="45"/>
      <c r="Q2" s="4"/>
      <c r="R2" s="106"/>
      <c r="S2" s="42"/>
      <c r="T2" s="45"/>
      <c r="U2" s="4"/>
      <c r="V2" s="106"/>
    </row>
    <row r="3" spans="2:22" ht="21" customHeight="1">
      <c r="B3" s="46" t="s">
        <v>1</v>
      </c>
      <c r="C3" s="155">
        <v>43052</v>
      </c>
      <c r="D3" s="156"/>
      <c r="E3" s="87"/>
      <c r="F3" s="107"/>
      <c r="G3" s="155">
        <v>43053</v>
      </c>
      <c r="H3" s="156"/>
      <c r="I3" s="87"/>
      <c r="J3" s="107"/>
      <c r="K3" s="155">
        <v>43054</v>
      </c>
      <c r="L3" s="156"/>
      <c r="M3" s="87"/>
      <c r="N3" s="107"/>
      <c r="O3" s="155">
        <v>43055</v>
      </c>
      <c r="P3" s="156"/>
      <c r="Q3" s="87"/>
      <c r="R3" s="107"/>
      <c r="S3" s="155">
        <v>43056</v>
      </c>
      <c r="T3" s="156"/>
      <c r="U3" s="87"/>
      <c r="V3" s="107"/>
    </row>
    <row r="4" spans="2:22" ht="19.5" customHeight="1">
      <c r="B4" s="159" t="s">
        <v>15</v>
      </c>
      <c r="C4" s="157" t="s">
        <v>38</v>
      </c>
      <c r="D4" s="160"/>
      <c r="E4" s="88"/>
      <c r="F4" s="137"/>
      <c r="G4" s="157" t="s">
        <v>73</v>
      </c>
      <c r="H4" s="160"/>
      <c r="I4" s="88"/>
      <c r="J4" s="137"/>
      <c r="K4" s="157" t="s">
        <v>289</v>
      </c>
      <c r="L4" s="160"/>
      <c r="M4" s="88"/>
      <c r="N4" s="137"/>
      <c r="O4" s="157" t="s">
        <v>239</v>
      </c>
      <c r="P4" s="160"/>
      <c r="Q4" s="88"/>
      <c r="R4" s="137"/>
      <c r="S4" s="157" t="s">
        <v>114</v>
      </c>
      <c r="T4" s="160"/>
      <c r="U4" s="88"/>
      <c r="V4" s="101"/>
    </row>
    <row r="5" spans="2:22" ht="19.5" customHeight="1">
      <c r="B5" s="159"/>
      <c r="C5" s="21" t="s">
        <v>134</v>
      </c>
      <c r="D5" s="85">
        <v>85</v>
      </c>
      <c r="E5" s="83">
        <f>D5/20</f>
        <v>4.25</v>
      </c>
      <c r="F5" s="108">
        <f>D5*1950/1000</f>
        <v>165.75</v>
      </c>
      <c r="G5" s="21" t="s">
        <v>134</v>
      </c>
      <c r="H5" s="85">
        <v>85</v>
      </c>
      <c r="I5" s="83">
        <f>H5/20</f>
        <v>4.25</v>
      </c>
      <c r="J5" s="108">
        <f>H5*1950/1000</f>
        <v>165.75</v>
      </c>
      <c r="K5" s="135" t="s">
        <v>82</v>
      </c>
      <c r="L5" s="136">
        <v>140</v>
      </c>
      <c r="M5" s="134">
        <f>L5/40</f>
        <v>3.5</v>
      </c>
      <c r="N5" s="108">
        <f>L5*1950/1000/0.6</f>
        <v>455</v>
      </c>
      <c r="O5" s="21" t="s">
        <v>134</v>
      </c>
      <c r="P5" s="85">
        <v>85</v>
      </c>
      <c r="Q5" s="83">
        <f>P5/20</f>
        <v>4.25</v>
      </c>
      <c r="R5" s="108">
        <f>P5*1950/1000</f>
        <v>165.75</v>
      </c>
      <c r="S5" s="21" t="s">
        <v>134</v>
      </c>
      <c r="T5" s="85">
        <v>80</v>
      </c>
      <c r="U5" s="83">
        <f>T5/20</f>
        <v>4</v>
      </c>
      <c r="V5" s="108">
        <f>T5*1950/1000</f>
        <v>156</v>
      </c>
    </row>
    <row r="6" spans="2:22" ht="19.5" customHeight="1">
      <c r="B6" s="159"/>
      <c r="C6" s="21"/>
      <c r="D6" s="57"/>
      <c r="E6" s="89"/>
      <c r="F6" s="108">
        <f t="shared" ref="F6:F44" si="0">D6*1950/1000</f>
        <v>0</v>
      </c>
      <c r="G6" s="21" t="s">
        <v>74</v>
      </c>
      <c r="H6" s="57">
        <v>5</v>
      </c>
      <c r="I6" s="83">
        <f>H6/20</f>
        <v>0.25</v>
      </c>
      <c r="J6" s="108">
        <f t="shared" ref="J6:J44" si="1">H6*1950/1000</f>
        <v>9.75</v>
      </c>
      <c r="K6" s="12" t="s">
        <v>290</v>
      </c>
      <c r="L6" s="54">
        <v>10</v>
      </c>
      <c r="M6" s="80"/>
      <c r="N6" s="108">
        <f t="shared" ref="N6:N44" si="2">L6*1950/1000</f>
        <v>19.5</v>
      </c>
      <c r="O6" s="21"/>
      <c r="P6" s="57"/>
      <c r="Q6" s="83">
        <f>P6/20</f>
        <v>0</v>
      </c>
      <c r="R6" s="108">
        <f t="shared" ref="R6:R44" si="3">P6*1950/1000</f>
        <v>0</v>
      </c>
      <c r="S6" s="21" t="s">
        <v>112</v>
      </c>
      <c r="T6" s="57">
        <v>5</v>
      </c>
      <c r="U6" s="83">
        <f>T6/20</f>
        <v>0.25</v>
      </c>
      <c r="V6" s="108">
        <f t="shared" ref="V6:V44" si="4">T6*1950/1000</f>
        <v>9.75</v>
      </c>
    </row>
    <row r="7" spans="2:22" ht="19.5" customHeight="1">
      <c r="B7" s="159"/>
      <c r="C7" s="61"/>
      <c r="D7" s="57"/>
      <c r="E7" s="56"/>
      <c r="F7" s="108">
        <f t="shared" si="0"/>
        <v>0</v>
      </c>
      <c r="G7" s="61"/>
      <c r="H7" s="57"/>
      <c r="I7" s="56"/>
      <c r="J7" s="108">
        <f t="shared" si="1"/>
        <v>0</v>
      </c>
      <c r="K7" s="12" t="s">
        <v>291</v>
      </c>
      <c r="L7" s="54">
        <v>15</v>
      </c>
      <c r="M7" s="56"/>
      <c r="N7" s="108">
        <f t="shared" si="2"/>
        <v>29.25</v>
      </c>
      <c r="O7" s="61"/>
      <c r="P7" s="57"/>
      <c r="Q7" s="56"/>
      <c r="R7" s="108">
        <f t="shared" si="3"/>
        <v>0</v>
      </c>
      <c r="S7" s="61"/>
      <c r="T7" s="57"/>
      <c r="U7" s="56"/>
      <c r="V7" s="108">
        <f t="shared" si="4"/>
        <v>0</v>
      </c>
    </row>
    <row r="8" spans="2:22" ht="19.5" customHeight="1">
      <c r="B8" s="159"/>
      <c r="C8" s="17"/>
      <c r="D8" s="48"/>
      <c r="E8" s="56"/>
      <c r="F8" s="108">
        <f t="shared" si="0"/>
        <v>0</v>
      </c>
      <c r="G8" s="17"/>
      <c r="H8" s="48"/>
      <c r="I8" s="56"/>
      <c r="J8" s="108">
        <f t="shared" si="1"/>
        <v>0</v>
      </c>
      <c r="K8" s="12" t="s">
        <v>292</v>
      </c>
      <c r="L8" s="54"/>
      <c r="M8" s="56"/>
      <c r="N8" s="108">
        <f t="shared" si="2"/>
        <v>0</v>
      </c>
      <c r="O8" s="17"/>
      <c r="P8" s="48"/>
      <c r="Q8" s="56"/>
      <c r="R8" s="108">
        <f t="shared" si="3"/>
        <v>0</v>
      </c>
      <c r="S8" s="17"/>
      <c r="T8" s="48"/>
      <c r="U8" s="56"/>
      <c r="V8" s="108">
        <f t="shared" si="4"/>
        <v>0</v>
      </c>
    </row>
    <row r="9" spans="2:22" ht="19.5" customHeight="1">
      <c r="B9" s="159"/>
      <c r="C9" s="49"/>
      <c r="D9" s="51"/>
      <c r="E9" s="59"/>
      <c r="F9" s="108">
        <f t="shared" si="0"/>
        <v>0</v>
      </c>
      <c r="G9" s="49"/>
      <c r="H9" s="51"/>
      <c r="I9" s="59"/>
      <c r="J9" s="108">
        <f t="shared" si="1"/>
        <v>0</v>
      </c>
      <c r="K9" s="49"/>
      <c r="L9" s="50"/>
      <c r="M9" s="59"/>
      <c r="N9" s="108">
        <f t="shared" si="2"/>
        <v>0</v>
      </c>
      <c r="O9" s="49"/>
      <c r="P9" s="51"/>
      <c r="Q9" s="59"/>
      <c r="R9" s="108">
        <f t="shared" si="3"/>
        <v>0</v>
      </c>
      <c r="S9" s="49"/>
      <c r="T9" s="51"/>
      <c r="U9" s="59"/>
      <c r="V9" s="108">
        <f t="shared" si="4"/>
        <v>0</v>
      </c>
    </row>
    <row r="10" spans="2:22">
      <c r="B10" s="159"/>
      <c r="C10" s="49"/>
      <c r="D10" s="51"/>
      <c r="E10" s="59"/>
      <c r="F10" s="108">
        <f t="shared" si="0"/>
        <v>0</v>
      </c>
      <c r="G10" s="49"/>
      <c r="H10" s="51"/>
      <c r="I10" s="59"/>
      <c r="J10" s="108">
        <f t="shared" si="1"/>
        <v>0</v>
      </c>
      <c r="K10" s="49"/>
      <c r="L10" s="50"/>
      <c r="M10" s="59"/>
      <c r="N10" s="108">
        <f t="shared" si="2"/>
        <v>0</v>
      </c>
      <c r="O10" s="49"/>
      <c r="P10" s="51"/>
      <c r="Q10" s="59"/>
      <c r="R10" s="108">
        <f t="shared" si="3"/>
        <v>0</v>
      </c>
      <c r="S10" s="49"/>
      <c r="T10" s="51"/>
      <c r="U10" s="59"/>
      <c r="V10" s="108">
        <f t="shared" si="4"/>
        <v>0</v>
      </c>
    </row>
    <row r="11" spans="2:22">
      <c r="B11" s="159"/>
      <c r="C11" s="49"/>
      <c r="D11" s="51"/>
      <c r="E11" s="59"/>
      <c r="F11" s="108">
        <f t="shared" si="0"/>
        <v>0</v>
      </c>
      <c r="G11" s="49"/>
      <c r="H11" s="51"/>
      <c r="I11" s="59"/>
      <c r="J11" s="108">
        <f t="shared" si="1"/>
        <v>0</v>
      </c>
      <c r="K11" s="49"/>
      <c r="L11" s="50"/>
      <c r="M11" s="59"/>
      <c r="N11" s="108">
        <f t="shared" si="2"/>
        <v>0</v>
      </c>
      <c r="O11" s="49"/>
      <c r="P11" s="51"/>
      <c r="Q11" s="59"/>
      <c r="R11" s="108">
        <f t="shared" si="3"/>
        <v>0</v>
      </c>
      <c r="S11" s="49"/>
      <c r="T11" s="51"/>
      <c r="U11" s="59"/>
      <c r="V11" s="108">
        <f t="shared" si="4"/>
        <v>0</v>
      </c>
    </row>
    <row r="12" spans="2:22">
      <c r="B12" s="159"/>
      <c r="C12" s="49"/>
      <c r="D12" s="51"/>
      <c r="E12" s="81"/>
      <c r="F12" s="108">
        <f t="shared" si="0"/>
        <v>0</v>
      </c>
      <c r="G12" s="49"/>
      <c r="H12" s="51"/>
      <c r="I12" s="59"/>
      <c r="J12" s="108">
        <f t="shared" si="1"/>
        <v>0</v>
      </c>
      <c r="K12" s="49"/>
      <c r="L12" s="50"/>
      <c r="M12" s="59"/>
      <c r="N12" s="108">
        <f t="shared" si="2"/>
        <v>0</v>
      </c>
      <c r="O12" s="49"/>
      <c r="P12" s="51"/>
      <c r="Q12" s="81"/>
      <c r="R12" s="108">
        <f t="shared" si="3"/>
        <v>0</v>
      </c>
      <c r="S12" s="49"/>
      <c r="T12" s="51"/>
      <c r="U12" s="81"/>
      <c r="V12" s="108">
        <f t="shared" si="4"/>
        <v>0</v>
      </c>
    </row>
    <row r="13" spans="2:22">
      <c r="B13" s="159" t="s">
        <v>16</v>
      </c>
      <c r="C13" s="157" t="s">
        <v>99</v>
      </c>
      <c r="D13" s="160"/>
      <c r="E13" s="88"/>
      <c r="F13" s="108">
        <f t="shared" si="0"/>
        <v>0</v>
      </c>
      <c r="G13" s="157" t="s">
        <v>281</v>
      </c>
      <c r="H13" s="160"/>
      <c r="I13" s="138"/>
      <c r="J13" s="108">
        <f t="shared" si="1"/>
        <v>0</v>
      </c>
      <c r="K13" s="157" t="s">
        <v>288</v>
      </c>
      <c r="L13" s="160"/>
      <c r="M13" s="138"/>
      <c r="N13" s="108">
        <f t="shared" si="2"/>
        <v>0</v>
      </c>
      <c r="O13" s="157" t="s">
        <v>293</v>
      </c>
      <c r="P13" s="160"/>
      <c r="Q13" s="88"/>
      <c r="R13" s="108">
        <f t="shared" si="3"/>
        <v>0</v>
      </c>
      <c r="S13" s="157" t="s">
        <v>300</v>
      </c>
      <c r="T13" s="160"/>
      <c r="U13" s="88"/>
      <c r="V13" s="108">
        <f t="shared" si="4"/>
        <v>0</v>
      </c>
    </row>
    <row r="14" spans="2:22">
      <c r="B14" s="159"/>
      <c r="C14" s="10" t="s">
        <v>75</v>
      </c>
      <c r="D14" s="85">
        <v>90</v>
      </c>
      <c r="E14" s="11">
        <f>D14*0.7/40</f>
        <v>1.5749999999999997</v>
      </c>
      <c r="F14" s="108">
        <f t="shared" si="0"/>
        <v>175.5</v>
      </c>
      <c r="G14" s="10" t="s">
        <v>282</v>
      </c>
      <c r="H14" s="85">
        <v>60</v>
      </c>
      <c r="I14" s="53">
        <f>H14*0.7/30</f>
        <v>1.4</v>
      </c>
      <c r="J14" s="108">
        <f t="shared" si="1"/>
        <v>117</v>
      </c>
      <c r="K14" s="10" t="s">
        <v>288</v>
      </c>
      <c r="L14" s="52">
        <v>65</v>
      </c>
      <c r="M14" s="53">
        <f>L14/35</f>
        <v>1.8571428571428572</v>
      </c>
      <c r="N14" s="108">
        <f t="shared" si="2"/>
        <v>126.75</v>
      </c>
      <c r="O14" s="10" t="s">
        <v>295</v>
      </c>
      <c r="P14" s="85">
        <v>50</v>
      </c>
      <c r="Q14" s="11">
        <f>P14*0.7/35</f>
        <v>1</v>
      </c>
      <c r="R14" s="108">
        <f t="shared" si="3"/>
        <v>97.5</v>
      </c>
      <c r="S14" s="10" t="s">
        <v>302</v>
      </c>
      <c r="T14" s="85">
        <v>70</v>
      </c>
      <c r="U14" s="11">
        <f>T14/35</f>
        <v>2</v>
      </c>
      <c r="V14" s="108">
        <f t="shared" si="4"/>
        <v>136.5</v>
      </c>
    </row>
    <row r="15" spans="2:22">
      <c r="B15" s="159"/>
      <c r="C15" s="12" t="s">
        <v>100</v>
      </c>
      <c r="D15" s="57">
        <v>18</v>
      </c>
      <c r="E15" s="63">
        <f t="shared" ref="E15" si="5">D15/100</f>
        <v>0.18</v>
      </c>
      <c r="F15" s="108">
        <f>D15*1950/1000/0.6</f>
        <v>58.500000000000007</v>
      </c>
      <c r="G15" s="12"/>
      <c r="H15" s="57"/>
      <c r="I15" s="19"/>
      <c r="J15" s="108">
        <f>H15*1950/1000</f>
        <v>0</v>
      </c>
      <c r="K15" s="12"/>
      <c r="L15" s="54"/>
      <c r="M15" s="63">
        <f t="shared" ref="M15" si="6">L15/100</f>
        <v>0</v>
      </c>
      <c r="N15" s="108">
        <f>L15*1950/1000</f>
        <v>0</v>
      </c>
      <c r="O15" s="12" t="s">
        <v>296</v>
      </c>
      <c r="P15" s="57">
        <v>15</v>
      </c>
      <c r="Q15" s="63">
        <f t="shared" ref="Q15" si="7">P15/100</f>
        <v>0.15</v>
      </c>
      <c r="R15" s="108">
        <f>P15*1950/1000/0.6</f>
        <v>48.75</v>
      </c>
      <c r="S15" s="12" t="s">
        <v>303</v>
      </c>
      <c r="T15" s="57">
        <v>20</v>
      </c>
      <c r="U15" s="18">
        <f>T15/90</f>
        <v>0.22222222222222221</v>
      </c>
      <c r="V15" s="108">
        <f>T15*1950/1000</f>
        <v>39</v>
      </c>
    </row>
    <row r="16" spans="2:22">
      <c r="B16" s="159"/>
      <c r="C16" s="12" t="s">
        <v>161</v>
      </c>
      <c r="D16" s="57">
        <v>10</v>
      </c>
      <c r="E16" s="19">
        <f>D16/40</f>
        <v>0.25</v>
      </c>
      <c r="F16" s="108">
        <f>D16*1950/1000</f>
        <v>19.5</v>
      </c>
      <c r="G16" s="166"/>
      <c r="H16" s="167"/>
      <c r="I16" s="19"/>
      <c r="J16" s="108">
        <f>H16*1950/1000</f>
        <v>0</v>
      </c>
      <c r="K16" s="12"/>
      <c r="L16" s="54"/>
      <c r="M16" s="83">
        <f>L16/55</f>
        <v>0</v>
      </c>
      <c r="N16" s="108">
        <f>L16*1950/1000</f>
        <v>0</v>
      </c>
      <c r="O16" s="12" t="s">
        <v>297</v>
      </c>
      <c r="P16" s="57">
        <v>5</v>
      </c>
      <c r="Q16" s="19">
        <f>P16/55</f>
        <v>9.0909090909090912E-2</v>
      </c>
      <c r="R16" s="108">
        <f>P16*1950/1000</f>
        <v>9.75</v>
      </c>
      <c r="S16" s="12" t="s">
        <v>79</v>
      </c>
      <c r="T16" s="57">
        <v>5</v>
      </c>
      <c r="U16" s="63">
        <f t="shared" ref="U16:U17" si="8">T16/100</f>
        <v>0.05</v>
      </c>
      <c r="V16" s="108">
        <f>T16*1950/1000</f>
        <v>9.75</v>
      </c>
    </row>
    <row r="17" spans="2:22">
      <c r="B17" s="159"/>
      <c r="C17" s="12" t="s">
        <v>156</v>
      </c>
      <c r="D17" s="57"/>
      <c r="E17" s="19"/>
      <c r="F17" s="108">
        <f>D17*1950/1000</f>
        <v>0</v>
      </c>
      <c r="G17" s="12"/>
      <c r="H17" s="57"/>
      <c r="I17" s="14">
        <f t="shared" ref="I17:I19" si="9">H17/100</f>
        <v>0</v>
      </c>
      <c r="J17" s="108">
        <f>H17*1950/1000</f>
        <v>0</v>
      </c>
      <c r="K17" s="12"/>
      <c r="L17" s="54"/>
      <c r="M17" s="19"/>
      <c r="N17" s="108">
        <f>L17*1950/1000</f>
        <v>0</v>
      </c>
      <c r="O17" s="12" t="s">
        <v>298</v>
      </c>
      <c r="P17" s="57">
        <v>5</v>
      </c>
      <c r="Q17" s="19"/>
      <c r="R17" s="108">
        <f>P17*1950/1000</f>
        <v>9.75</v>
      </c>
      <c r="S17" s="12" t="s">
        <v>304</v>
      </c>
      <c r="T17" s="57">
        <v>15</v>
      </c>
      <c r="U17" s="63">
        <f t="shared" si="8"/>
        <v>0.15</v>
      </c>
      <c r="V17" s="108">
        <f>T17*1950/1000</f>
        <v>29.25</v>
      </c>
    </row>
    <row r="18" spans="2:22" ht="19.5" customHeight="1">
      <c r="B18" s="159"/>
      <c r="C18" s="55"/>
      <c r="D18" s="57"/>
      <c r="E18" s="56"/>
      <c r="F18" s="108">
        <f>D18*1950/1000</f>
        <v>0</v>
      </c>
      <c r="G18" s="55"/>
      <c r="H18" s="57"/>
      <c r="I18" s="14">
        <f t="shared" si="9"/>
        <v>0</v>
      </c>
      <c r="J18" s="108">
        <f>H18*1950/1000</f>
        <v>0</v>
      </c>
      <c r="K18" s="55"/>
      <c r="L18" s="54"/>
      <c r="M18" s="56"/>
      <c r="N18" s="108">
        <f>L18*1950/1000</f>
        <v>0</v>
      </c>
      <c r="O18" s="133" t="s">
        <v>299</v>
      </c>
      <c r="P18" s="57">
        <v>10</v>
      </c>
      <c r="Q18" s="56"/>
      <c r="R18" s="108">
        <f>P18*1950/1000</f>
        <v>19.5</v>
      </c>
      <c r="S18" s="55"/>
      <c r="T18" s="57"/>
      <c r="U18" s="11">
        <f>T18/35</f>
        <v>0</v>
      </c>
      <c r="V18" s="108">
        <f>T18*1950/1000</f>
        <v>0</v>
      </c>
    </row>
    <row r="19" spans="2:22">
      <c r="B19" s="159"/>
      <c r="C19" s="55"/>
      <c r="D19" s="60"/>
      <c r="E19" s="59"/>
      <c r="F19" s="108">
        <f t="shared" si="0"/>
        <v>0</v>
      </c>
      <c r="G19" s="55"/>
      <c r="H19" s="57"/>
      <c r="I19" s="14">
        <f t="shared" si="9"/>
        <v>0</v>
      </c>
      <c r="J19" s="108">
        <f t="shared" si="1"/>
        <v>0</v>
      </c>
      <c r="K19" s="55"/>
      <c r="L19" s="58"/>
      <c r="M19" s="59"/>
      <c r="N19" s="108">
        <f t="shared" si="2"/>
        <v>0</v>
      </c>
      <c r="O19" s="55"/>
      <c r="P19" s="60"/>
      <c r="Q19" s="59"/>
      <c r="R19" s="108">
        <f t="shared" si="3"/>
        <v>0</v>
      </c>
      <c r="S19" s="55"/>
      <c r="T19" s="60"/>
      <c r="U19" s="59"/>
      <c r="V19" s="108">
        <f t="shared" si="4"/>
        <v>0</v>
      </c>
    </row>
    <row r="20" spans="2:22">
      <c r="B20" s="159"/>
      <c r="C20" s="55"/>
      <c r="D20" s="60"/>
      <c r="E20" s="59"/>
      <c r="F20" s="108">
        <f t="shared" si="0"/>
        <v>0</v>
      </c>
      <c r="G20" s="55"/>
      <c r="H20" s="60"/>
      <c r="I20" s="59"/>
      <c r="J20" s="108">
        <f t="shared" si="1"/>
        <v>0</v>
      </c>
      <c r="K20" s="55"/>
      <c r="L20" s="58"/>
      <c r="M20" s="59"/>
      <c r="N20" s="108">
        <f t="shared" si="2"/>
        <v>0</v>
      </c>
      <c r="O20" s="55"/>
      <c r="P20" s="60"/>
      <c r="Q20" s="59"/>
      <c r="R20" s="108">
        <f t="shared" si="3"/>
        <v>0</v>
      </c>
      <c r="S20" s="55"/>
      <c r="T20" s="60"/>
      <c r="U20" s="59"/>
      <c r="V20" s="108">
        <f t="shared" si="4"/>
        <v>0</v>
      </c>
    </row>
    <row r="21" spans="2:22">
      <c r="B21" s="159"/>
      <c r="C21" s="61"/>
      <c r="D21" s="57"/>
      <c r="E21" s="56">
        <f>D14+D15+D16+D17+D18+D19+D20</f>
        <v>118</v>
      </c>
      <c r="F21" s="108">
        <f t="shared" si="0"/>
        <v>0</v>
      </c>
      <c r="G21" s="61"/>
      <c r="H21" s="57"/>
      <c r="I21" s="56">
        <f>H14+H15+H16+H17+H18+H19+H20</f>
        <v>60</v>
      </c>
      <c r="J21" s="108">
        <f t="shared" si="1"/>
        <v>0</v>
      </c>
      <c r="K21" s="61"/>
      <c r="L21" s="54"/>
      <c r="M21" s="56">
        <f>L14+L15+L16+L17+L18+L19+L20</f>
        <v>65</v>
      </c>
      <c r="N21" s="108">
        <f t="shared" si="2"/>
        <v>0</v>
      </c>
      <c r="O21" s="61"/>
      <c r="P21" s="57"/>
      <c r="Q21" s="56">
        <f>P14+P15+P16+P17+P18+P19+P20</f>
        <v>85</v>
      </c>
      <c r="R21" s="108">
        <f t="shared" si="3"/>
        <v>0</v>
      </c>
      <c r="S21" s="61"/>
      <c r="T21" s="57"/>
      <c r="U21" s="56">
        <f>T14+T15+T16+T17+T18+T19+T20</f>
        <v>110</v>
      </c>
      <c r="V21" s="108">
        <f t="shared" si="4"/>
        <v>0</v>
      </c>
    </row>
    <row r="22" spans="2:22">
      <c r="B22" s="159" t="s">
        <v>17</v>
      </c>
      <c r="C22" s="157" t="s">
        <v>279</v>
      </c>
      <c r="D22" s="160"/>
      <c r="E22" s="88"/>
      <c r="F22" s="108">
        <f t="shared" si="0"/>
        <v>0</v>
      </c>
      <c r="G22" s="157" t="s">
        <v>107</v>
      </c>
      <c r="H22" s="160"/>
      <c r="I22" s="138"/>
      <c r="J22" s="108">
        <f t="shared" si="1"/>
        <v>0</v>
      </c>
      <c r="K22" s="157" t="s">
        <v>284</v>
      </c>
      <c r="L22" s="160"/>
      <c r="M22" s="138"/>
      <c r="N22" s="108">
        <f t="shared" si="2"/>
        <v>0</v>
      </c>
      <c r="O22" s="157" t="s">
        <v>294</v>
      </c>
      <c r="P22" s="160"/>
      <c r="Q22" s="88"/>
      <c r="R22" s="108">
        <f t="shared" si="3"/>
        <v>0</v>
      </c>
      <c r="S22" s="157" t="s">
        <v>115</v>
      </c>
      <c r="T22" s="160"/>
      <c r="U22" s="88"/>
      <c r="V22" s="108">
        <f t="shared" si="4"/>
        <v>0</v>
      </c>
    </row>
    <row r="23" spans="2:22">
      <c r="B23" s="159"/>
      <c r="C23" s="10" t="s">
        <v>111</v>
      </c>
      <c r="D23" s="62">
        <v>25</v>
      </c>
      <c r="E23" s="13">
        <f>D23/90</f>
        <v>0.27777777777777779</v>
      </c>
      <c r="F23" s="108">
        <f t="shared" si="0"/>
        <v>48.75</v>
      </c>
      <c r="G23" s="10" t="s">
        <v>160</v>
      </c>
      <c r="H23" s="62">
        <v>45</v>
      </c>
      <c r="I23" s="19">
        <f>H23/60</f>
        <v>0.75</v>
      </c>
      <c r="J23" s="108">
        <f t="shared" si="1"/>
        <v>87.75</v>
      </c>
      <c r="K23" s="10" t="s">
        <v>285</v>
      </c>
      <c r="L23" s="62">
        <v>40</v>
      </c>
      <c r="M23" s="63">
        <f t="shared" ref="M23" si="10">L23/100</f>
        <v>0.4</v>
      </c>
      <c r="N23" s="108">
        <f t="shared" si="2"/>
        <v>78</v>
      </c>
      <c r="O23" s="10" t="s">
        <v>96</v>
      </c>
      <c r="P23" s="62">
        <v>60</v>
      </c>
      <c r="Q23" s="115">
        <f t="shared" ref="Q23:Q24" si="11">P23/100</f>
        <v>0.6</v>
      </c>
      <c r="R23" s="108">
        <f t="shared" si="3"/>
        <v>117</v>
      </c>
      <c r="S23" s="10" t="s">
        <v>116</v>
      </c>
      <c r="T23" s="62">
        <v>40</v>
      </c>
      <c r="U23" s="115">
        <f t="shared" ref="U23:U26" si="12">T23/100</f>
        <v>0.4</v>
      </c>
      <c r="V23" s="108">
        <f t="shared" si="4"/>
        <v>78</v>
      </c>
    </row>
    <row r="24" spans="2:22">
      <c r="B24" s="159"/>
      <c r="C24" s="12" t="s">
        <v>101</v>
      </c>
      <c r="D24" s="57">
        <v>25</v>
      </c>
      <c r="E24" s="13">
        <f>D24/55</f>
        <v>0.45454545454545453</v>
      </c>
      <c r="F24" s="108">
        <f t="shared" si="0"/>
        <v>48.75</v>
      </c>
      <c r="G24" s="12" t="s">
        <v>124</v>
      </c>
      <c r="H24" s="57">
        <v>40</v>
      </c>
      <c r="I24" s="63">
        <f t="shared" ref="I24:I26" si="13">H24/100</f>
        <v>0.4</v>
      </c>
      <c r="J24" s="108">
        <f t="shared" si="1"/>
        <v>78</v>
      </c>
      <c r="K24" s="133" t="s">
        <v>286</v>
      </c>
      <c r="L24" s="57">
        <v>10</v>
      </c>
      <c r="M24" s="58">
        <f>L24/55</f>
        <v>0.18181818181818182</v>
      </c>
      <c r="N24" s="108">
        <f>L24*1950/1000/0.6</f>
        <v>32.5</v>
      </c>
      <c r="O24" s="12" t="s">
        <v>79</v>
      </c>
      <c r="P24" s="57">
        <v>3</v>
      </c>
      <c r="Q24" s="115">
        <f t="shared" si="11"/>
        <v>0.03</v>
      </c>
      <c r="R24" s="108">
        <f t="shared" si="3"/>
        <v>5.85</v>
      </c>
      <c r="S24" s="12" t="s">
        <v>152</v>
      </c>
      <c r="T24" s="57">
        <v>5</v>
      </c>
      <c r="U24" s="115">
        <f t="shared" si="12"/>
        <v>0.05</v>
      </c>
      <c r="V24" s="108">
        <f t="shared" si="4"/>
        <v>9.75</v>
      </c>
    </row>
    <row r="25" spans="2:22">
      <c r="B25" s="159"/>
      <c r="C25" s="12" t="s">
        <v>102</v>
      </c>
      <c r="D25" s="57">
        <v>3</v>
      </c>
      <c r="E25" s="63">
        <f t="shared" ref="E25" si="14">D25/100</f>
        <v>0.03</v>
      </c>
      <c r="F25" s="108">
        <f t="shared" si="0"/>
        <v>5.85</v>
      </c>
      <c r="G25" s="12" t="s">
        <v>79</v>
      </c>
      <c r="H25" s="57">
        <v>3</v>
      </c>
      <c r="I25" s="63">
        <f t="shared" si="13"/>
        <v>0.03</v>
      </c>
      <c r="J25" s="108">
        <f t="shared" si="1"/>
        <v>5.85</v>
      </c>
      <c r="K25" s="12" t="s">
        <v>287</v>
      </c>
      <c r="L25" s="54">
        <v>10</v>
      </c>
      <c r="M25" s="63">
        <f t="shared" ref="M25:M26" si="15">L25/100</f>
        <v>0.1</v>
      </c>
      <c r="N25" s="108">
        <f t="shared" si="2"/>
        <v>19.5</v>
      </c>
      <c r="O25" s="12" t="s">
        <v>113</v>
      </c>
      <c r="P25" s="57">
        <v>10</v>
      </c>
      <c r="Q25" s="90">
        <f>P25/55</f>
        <v>0.18181818181818182</v>
      </c>
      <c r="R25" s="108">
        <f t="shared" si="3"/>
        <v>19.5</v>
      </c>
      <c r="S25" s="12" t="s">
        <v>103</v>
      </c>
      <c r="T25" s="90">
        <v>10</v>
      </c>
      <c r="U25" s="114">
        <f>T25/35</f>
        <v>0.2857142857142857</v>
      </c>
      <c r="V25" s="108">
        <f t="shared" si="4"/>
        <v>19.5</v>
      </c>
    </row>
    <row r="26" spans="2:22">
      <c r="B26" s="159"/>
      <c r="C26" s="12" t="s">
        <v>103</v>
      </c>
      <c r="D26" s="57">
        <v>5</v>
      </c>
      <c r="E26" s="40">
        <f>D26/35</f>
        <v>0.14285714285714285</v>
      </c>
      <c r="F26" s="108">
        <f t="shared" si="0"/>
        <v>9.75</v>
      </c>
      <c r="G26" s="12" t="s">
        <v>153</v>
      </c>
      <c r="H26" s="54">
        <v>0.3</v>
      </c>
      <c r="I26" s="63">
        <f t="shared" si="13"/>
        <v>3.0000000000000001E-3</v>
      </c>
      <c r="J26" s="108">
        <f t="shared" si="1"/>
        <v>0.58499999999999996</v>
      </c>
      <c r="K26" s="12"/>
      <c r="L26" s="54"/>
      <c r="M26" s="63">
        <f t="shared" si="15"/>
        <v>0</v>
      </c>
      <c r="N26" s="108">
        <f t="shared" si="2"/>
        <v>0</v>
      </c>
      <c r="O26" s="12" t="s">
        <v>376</v>
      </c>
      <c r="P26" s="57">
        <v>8</v>
      </c>
      <c r="Q26" s="116">
        <f>P26/20</f>
        <v>0.4</v>
      </c>
      <c r="R26" s="108">
        <f>P26*1950/1000/0.6</f>
        <v>26</v>
      </c>
      <c r="S26" s="12" t="s">
        <v>164</v>
      </c>
      <c r="T26" s="57">
        <v>15</v>
      </c>
      <c r="U26" s="115">
        <f t="shared" si="12"/>
        <v>0.15</v>
      </c>
      <c r="V26" s="108">
        <f t="shared" si="4"/>
        <v>29.25</v>
      </c>
    </row>
    <row r="27" spans="2:22" ht="20.25" customHeight="1">
      <c r="B27" s="159"/>
      <c r="C27" s="55" t="s">
        <v>162</v>
      </c>
      <c r="D27" s="57">
        <v>3</v>
      </c>
      <c r="E27" s="63">
        <f t="shared" ref="E27:E28" si="16">D27/100</f>
        <v>0.03</v>
      </c>
      <c r="F27" s="108">
        <f t="shared" si="0"/>
        <v>5.85</v>
      </c>
      <c r="G27" s="55"/>
      <c r="H27" s="57"/>
      <c r="I27" s="58"/>
      <c r="J27" s="108">
        <f t="shared" si="1"/>
        <v>0</v>
      </c>
      <c r="K27" s="55"/>
      <c r="L27" s="57"/>
      <c r="M27" s="58"/>
      <c r="N27" s="108">
        <f t="shared" si="2"/>
        <v>0</v>
      </c>
      <c r="O27" s="55" t="s">
        <v>88</v>
      </c>
      <c r="P27" s="57">
        <v>1</v>
      </c>
      <c r="Q27" s="115">
        <f t="shared" ref="Q27:Q28" si="17">P27/100</f>
        <v>0.01</v>
      </c>
      <c r="R27" s="108">
        <f t="shared" si="3"/>
        <v>1.95</v>
      </c>
      <c r="S27" s="55"/>
      <c r="T27" s="57"/>
      <c r="U27" s="57"/>
      <c r="V27" s="108">
        <f t="shared" si="4"/>
        <v>0</v>
      </c>
    </row>
    <row r="28" spans="2:22">
      <c r="B28" s="159"/>
      <c r="C28" s="55" t="s">
        <v>85</v>
      </c>
      <c r="D28" s="57">
        <v>30</v>
      </c>
      <c r="E28" s="63">
        <f t="shared" si="16"/>
        <v>0.3</v>
      </c>
      <c r="F28" s="108">
        <f t="shared" si="0"/>
        <v>58.5</v>
      </c>
      <c r="G28" s="55"/>
      <c r="H28" s="60"/>
      <c r="I28" s="60"/>
      <c r="J28" s="108">
        <f t="shared" si="1"/>
        <v>0</v>
      </c>
      <c r="K28" s="55"/>
      <c r="L28" s="60"/>
      <c r="M28" s="60"/>
      <c r="N28" s="108">
        <f t="shared" si="2"/>
        <v>0</v>
      </c>
      <c r="O28" s="55" t="s">
        <v>127</v>
      </c>
      <c r="P28" s="57">
        <v>0.5</v>
      </c>
      <c r="Q28" s="115">
        <f t="shared" si="17"/>
        <v>5.0000000000000001E-3</v>
      </c>
      <c r="R28" s="108">
        <f t="shared" si="3"/>
        <v>0.97499999999999998</v>
      </c>
      <c r="S28" s="55"/>
      <c r="T28" s="60"/>
      <c r="U28" s="60"/>
      <c r="V28" s="108">
        <f t="shared" si="4"/>
        <v>0</v>
      </c>
    </row>
    <row r="29" spans="2:22">
      <c r="B29" s="159"/>
      <c r="C29" s="61"/>
      <c r="D29" s="57"/>
      <c r="E29" s="56"/>
      <c r="F29" s="108">
        <f t="shared" si="0"/>
        <v>0</v>
      </c>
      <c r="G29" s="61"/>
      <c r="H29" s="57"/>
      <c r="I29" s="57"/>
      <c r="J29" s="108">
        <f t="shared" si="1"/>
        <v>0</v>
      </c>
      <c r="K29" s="61"/>
      <c r="L29" s="57"/>
      <c r="M29" s="57"/>
      <c r="N29" s="108">
        <f t="shared" si="2"/>
        <v>0</v>
      </c>
      <c r="O29" s="61"/>
      <c r="P29" s="57"/>
      <c r="Q29" s="57"/>
      <c r="R29" s="108">
        <f t="shared" si="3"/>
        <v>0</v>
      </c>
      <c r="S29" s="61"/>
      <c r="T29" s="57"/>
      <c r="U29" s="57"/>
      <c r="V29" s="108">
        <f t="shared" si="4"/>
        <v>0</v>
      </c>
    </row>
    <row r="30" spans="2:22">
      <c r="B30" s="159"/>
      <c r="C30" s="61"/>
      <c r="D30" s="57"/>
      <c r="E30" s="56">
        <f>D23+D24+D25+D26+D27+D28+D29</f>
        <v>91</v>
      </c>
      <c r="F30" s="108">
        <f t="shared" si="0"/>
        <v>0</v>
      </c>
      <c r="G30" s="61"/>
      <c r="H30" s="57"/>
      <c r="I30" s="57"/>
      <c r="J30" s="108">
        <f t="shared" si="1"/>
        <v>0</v>
      </c>
      <c r="K30" s="82"/>
      <c r="L30" s="84"/>
      <c r="M30" s="57"/>
      <c r="N30" s="108">
        <f t="shared" si="2"/>
        <v>0</v>
      </c>
      <c r="O30" s="82"/>
      <c r="P30" s="84"/>
      <c r="Q30" s="57"/>
      <c r="R30" s="108">
        <f t="shared" si="3"/>
        <v>0</v>
      </c>
      <c r="S30" s="82"/>
      <c r="T30" s="84"/>
      <c r="U30" s="56">
        <f>T23+T24+T25+T26+T27+T28+T29</f>
        <v>70</v>
      </c>
      <c r="V30" s="108">
        <f t="shared" si="4"/>
        <v>0</v>
      </c>
    </row>
    <row r="31" spans="2:22" ht="24" customHeight="1">
      <c r="B31" s="159" t="s">
        <v>18</v>
      </c>
      <c r="C31" s="157" t="s">
        <v>46</v>
      </c>
      <c r="D31" s="158"/>
      <c r="E31" s="86"/>
      <c r="F31" s="108">
        <f t="shared" si="0"/>
        <v>0</v>
      </c>
      <c r="G31" s="157" t="s">
        <v>46</v>
      </c>
      <c r="H31" s="158"/>
      <c r="I31" s="86"/>
      <c r="J31" s="108">
        <f t="shared" si="1"/>
        <v>0</v>
      </c>
      <c r="K31" s="157" t="s">
        <v>46</v>
      </c>
      <c r="L31" s="158"/>
      <c r="M31" s="86"/>
      <c r="N31" s="108">
        <f t="shared" si="2"/>
        <v>0</v>
      </c>
      <c r="O31" s="157" t="s">
        <v>46</v>
      </c>
      <c r="P31" s="158"/>
      <c r="Q31" s="86"/>
      <c r="R31" s="108">
        <f t="shared" si="3"/>
        <v>0</v>
      </c>
      <c r="S31" s="157" t="s">
        <v>46</v>
      </c>
      <c r="T31" s="160"/>
      <c r="U31" s="86"/>
      <c r="V31" s="108">
        <f t="shared" si="4"/>
        <v>0</v>
      </c>
    </row>
    <row r="32" spans="2:22">
      <c r="B32" s="159"/>
      <c r="C32" s="16" t="s">
        <v>47</v>
      </c>
      <c r="D32" s="6">
        <v>60</v>
      </c>
      <c r="E32" s="63">
        <f t="shared" ref="E32:E34" si="18">D32/100</f>
        <v>0.6</v>
      </c>
      <c r="F32" s="108">
        <f t="shared" si="0"/>
        <v>117</v>
      </c>
      <c r="G32" s="16" t="s">
        <v>47</v>
      </c>
      <c r="H32" s="6">
        <v>60</v>
      </c>
      <c r="I32" s="63">
        <f t="shared" ref="I32:I34" si="19">H32/100</f>
        <v>0.6</v>
      </c>
      <c r="J32" s="108">
        <f t="shared" si="1"/>
        <v>117</v>
      </c>
      <c r="K32" s="16" t="s">
        <v>47</v>
      </c>
      <c r="L32" s="6">
        <v>60</v>
      </c>
      <c r="M32" s="63">
        <f t="shared" ref="M32:M34" si="20">L32/100</f>
        <v>0.6</v>
      </c>
      <c r="N32" s="108">
        <f t="shared" si="2"/>
        <v>117</v>
      </c>
      <c r="O32" s="16" t="s">
        <v>47</v>
      </c>
      <c r="P32" s="6">
        <v>60</v>
      </c>
      <c r="Q32" s="63">
        <f t="shared" ref="Q32:Q34" si="21">P32/100</f>
        <v>0.6</v>
      </c>
      <c r="R32" s="108">
        <f t="shared" si="3"/>
        <v>117</v>
      </c>
      <c r="S32" s="16" t="s">
        <v>47</v>
      </c>
      <c r="T32" s="8">
        <v>60</v>
      </c>
      <c r="U32" s="63">
        <f t="shared" ref="U32:U34" si="22">T32/100</f>
        <v>0.6</v>
      </c>
      <c r="V32" s="108">
        <f t="shared" si="4"/>
        <v>117</v>
      </c>
    </row>
    <row r="33" spans="2:22">
      <c r="B33" s="159"/>
      <c r="C33" s="17" t="s">
        <v>138</v>
      </c>
      <c r="D33" s="7">
        <v>0.5</v>
      </c>
      <c r="E33" s="14">
        <f t="shared" si="18"/>
        <v>5.0000000000000001E-3</v>
      </c>
      <c r="F33" s="108">
        <f t="shared" si="0"/>
        <v>0.97499999999999998</v>
      </c>
      <c r="G33" s="17" t="s">
        <v>138</v>
      </c>
      <c r="H33" s="7">
        <v>0.5</v>
      </c>
      <c r="I33" s="14">
        <f t="shared" si="19"/>
        <v>5.0000000000000001E-3</v>
      </c>
      <c r="J33" s="108">
        <f t="shared" si="1"/>
        <v>0.97499999999999998</v>
      </c>
      <c r="K33" s="17" t="s">
        <v>138</v>
      </c>
      <c r="L33" s="7">
        <v>0.5</v>
      </c>
      <c r="M33" s="14">
        <f t="shared" si="20"/>
        <v>5.0000000000000001E-3</v>
      </c>
      <c r="N33" s="108">
        <f t="shared" si="2"/>
        <v>0.97499999999999998</v>
      </c>
      <c r="O33" s="17" t="s">
        <v>138</v>
      </c>
      <c r="P33" s="7">
        <v>0.5</v>
      </c>
      <c r="Q33" s="14">
        <f t="shared" si="21"/>
        <v>5.0000000000000001E-3</v>
      </c>
      <c r="R33" s="108">
        <f t="shared" si="3"/>
        <v>0.97499999999999998</v>
      </c>
      <c r="S33" s="17" t="s">
        <v>138</v>
      </c>
      <c r="T33" s="9">
        <v>0.5</v>
      </c>
      <c r="U33" s="14">
        <f t="shared" si="22"/>
        <v>5.0000000000000001E-3</v>
      </c>
      <c r="V33" s="108">
        <f t="shared" si="4"/>
        <v>0.97499999999999998</v>
      </c>
    </row>
    <row r="34" spans="2:22">
      <c r="B34" s="159"/>
      <c r="C34" s="17" t="s">
        <v>137</v>
      </c>
      <c r="D34" s="7">
        <v>0.5</v>
      </c>
      <c r="E34" s="14">
        <f t="shared" si="18"/>
        <v>5.0000000000000001E-3</v>
      </c>
      <c r="F34" s="108">
        <f t="shared" si="0"/>
        <v>0.97499999999999998</v>
      </c>
      <c r="G34" s="17" t="s">
        <v>137</v>
      </c>
      <c r="H34" s="7">
        <v>0.5</v>
      </c>
      <c r="I34" s="14">
        <f t="shared" si="19"/>
        <v>5.0000000000000001E-3</v>
      </c>
      <c r="J34" s="108">
        <f t="shared" si="1"/>
        <v>0.97499999999999998</v>
      </c>
      <c r="K34" s="17" t="s">
        <v>137</v>
      </c>
      <c r="L34" s="7">
        <v>0.5</v>
      </c>
      <c r="M34" s="14">
        <f t="shared" si="20"/>
        <v>5.0000000000000001E-3</v>
      </c>
      <c r="N34" s="108">
        <f t="shared" si="2"/>
        <v>0.97499999999999998</v>
      </c>
      <c r="O34" s="17" t="s">
        <v>137</v>
      </c>
      <c r="P34" s="7">
        <v>0.5</v>
      </c>
      <c r="Q34" s="14">
        <f t="shared" si="21"/>
        <v>5.0000000000000001E-3</v>
      </c>
      <c r="R34" s="108">
        <f t="shared" si="3"/>
        <v>0.97499999999999998</v>
      </c>
      <c r="S34" s="17" t="s">
        <v>137</v>
      </c>
      <c r="T34" s="9">
        <v>0.5</v>
      </c>
      <c r="U34" s="14">
        <f t="shared" si="22"/>
        <v>5.0000000000000001E-3</v>
      </c>
      <c r="V34" s="108">
        <f t="shared" si="4"/>
        <v>0.97499999999999998</v>
      </c>
    </row>
    <row r="35" spans="2:22">
      <c r="B35" s="159"/>
      <c r="C35" s="17"/>
      <c r="D35" s="9"/>
      <c r="E35" s="15"/>
      <c r="F35" s="108">
        <f t="shared" si="0"/>
        <v>0</v>
      </c>
      <c r="G35" s="17"/>
      <c r="H35" s="9"/>
      <c r="I35" s="15"/>
      <c r="J35" s="108">
        <f t="shared" si="1"/>
        <v>0</v>
      </c>
      <c r="K35" s="17"/>
      <c r="L35" s="7"/>
      <c r="M35" s="15"/>
      <c r="N35" s="108">
        <f t="shared" si="2"/>
        <v>0</v>
      </c>
      <c r="O35" s="17"/>
      <c r="P35" s="9"/>
      <c r="Q35" s="15"/>
      <c r="R35" s="108">
        <f t="shared" si="3"/>
        <v>0</v>
      </c>
      <c r="S35" s="17"/>
      <c r="T35" s="9"/>
      <c r="U35" s="15"/>
      <c r="V35" s="108">
        <f t="shared" si="4"/>
        <v>0</v>
      </c>
    </row>
    <row r="36" spans="2:22" ht="24" customHeight="1">
      <c r="B36" s="159"/>
      <c r="C36" s="17"/>
      <c r="D36" s="9"/>
      <c r="E36" s="64"/>
      <c r="F36" s="108">
        <f t="shared" si="0"/>
        <v>0</v>
      </c>
      <c r="G36" s="17"/>
      <c r="H36" s="9"/>
      <c r="I36" s="64"/>
      <c r="J36" s="108">
        <f t="shared" si="1"/>
        <v>0</v>
      </c>
      <c r="K36" s="17"/>
      <c r="L36" s="7"/>
      <c r="M36" s="64"/>
      <c r="N36" s="108">
        <f t="shared" si="2"/>
        <v>0</v>
      </c>
      <c r="O36" s="17"/>
      <c r="P36" s="9"/>
      <c r="Q36" s="64"/>
      <c r="R36" s="108">
        <f t="shared" si="3"/>
        <v>0</v>
      </c>
      <c r="S36" s="17"/>
      <c r="T36" s="9"/>
      <c r="U36" s="64"/>
      <c r="V36" s="108">
        <f t="shared" si="4"/>
        <v>0</v>
      </c>
    </row>
    <row r="37" spans="2:22">
      <c r="B37" s="159" t="s">
        <v>2</v>
      </c>
      <c r="C37" s="157" t="s">
        <v>104</v>
      </c>
      <c r="D37" s="160"/>
      <c r="E37" s="138"/>
      <c r="F37" s="108">
        <f t="shared" si="0"/>
        <v>0</v>
      </c>
      <c r="G37" s="157" t="s">
        <v>108</v>
      </c>
      <c r="H37" s="160"/>
      <c r="I37" s="138"/>
      <c r="J37" s="108">
        <f t="shared" si="1"/>
        <v>0</v>
      </c>
      <c r="K37" s="157" t="s">
        <v>283</v>
      </c>
      <c r="L37" s="160"/>
      <c r="M37" s="138"/>
      <c r="N37" s="108">
        <f t="shared" si="2"/>
        <v>0</v>
      </c>
      <c r="O37" s="157" t="s">
        <v>215</v>
      </c>
      <c r="P37" s="160"/>
      <c r="Q37" s="138"/>
      <c r="R37" s="108">
        <f t="shared" si="3"/>
        <v>0</v>
      </c>
      <c r="S37" s="157" t="s">
        <v>117</v>
      </c>
      <c r="T37" s="160"/>
      <c r="U37" s="102"/>
      <c r="V37" s="108">
        <f t="shared" si="4"/>
        <v>0</v>
      </c>
    </row>
    <row r="38" spans="2:22">
      <c r="B38" s="159"/>
      <c r="C38" s="10" t="s">
        <v>97</v>
      </c>
      <c r="D38" s="52">
        <v>10</v>
      </c>
      <c r="E38" s="14">
        <f t="shared" ref="E38:E39" si="23">D38/100</f>
        <v>0.1</v>
      </c>
      <c r="F38" s="108">
        <f t="shared" si="0"/>
        <v>19.5</v>
      </c>
      <c r="G38" s="10" t="s">
        <v>83</v>
      </c>
      <c r="H38" s="52">
        <v>10</v>
      </c>
      <c r="I38" s="14">
        <f t="shared" ref="I38" si="24">H38/100</f>
        <v>0.1</v>
      </c>
      <c r="J38" s="108">
        <f>H38*1950/1000/0.6</f>
        <v>32.5</v>
      </c>
      <c r="K38" s="10" t="s">
        <v>111</v>
      </c>
      <c r="L38" s="7">
        <v>15</v>
      </c>
      <c r="M38" s="18">
        <f>L38/90</f>
        <v>0.16666666666666666</v>
      </c>
      <c r="N38" s="108">
        <f t="shared" si="2"/>
        <v>29.25</v>
      </c>
      <c r="O38" s="10" t="s">
        <v>84</v>
      </c>
      <c r="P38" s="52">
        <v>5</v>
      </c>
      <c r="Q38" s="14">
        <f t="shared" ref="Q38" si="25">P38/100</f>
        <v>0.05</v>
      </c>
      <c r="R38" s="108">
        <f t="shared" si="3"/>
        <v>9.75</v>
      </c>
      <c r="S38" s="10" t="s">
        <v>118</v>
      </c>
      <c r="T38" s="62">
        <v>55</v>
      </c>
      <c r="U38" s="19"/>
      <c r="V38" s="108">
        <f t="shared" si="4"/>
        <v>107.25</v>
      </c>
    </row>
    <row r="39" spans="2:22">
      <c r="B39" s="159"/>
      <c r="C39" s="12" t="s">
        <v>79</v>
      </c>
      <c r="D39" s="54">
        <v>3</v>
      </c>
      <c r="E39" s="14">
        <f t="shared" si="23"/>
        <v>0.03</v>
      </c>
      <c r="F39" s="108">
        <f t="shared" si="0"/>
        <v>5.85</v>
      </c>
      <c r="G39" s="12" t="s">
        <v>109</v>
      </c>
      <c r="H39" s="54">
        <v>30</v>
      </c>
      <c r="I39" s="19">
        <f>H39/120</f>
        <v>0.25</v>
      </c>
      <c r="J39" s="108">
        <f t="shared" si="1"/>
        <v>58.5</v>
      </c>
      <c r="K39" s="12" t="s">
        <v>163</v>
      </c>
      <c r="L39" s="7">
        <v>5</v>
      </c>
      <c r="M39" s="14">
        <f t="shared" ref="M39:M40" si="26">L39/100</f>
        <v>0.05</v>
      </c>
      <c r="N39" s="108">
        <f t="shared" si="2"/>
        <v>9.75</v>
      </c>
      <c r="O39" s="12" t="s">
        <v>160</v>
      </c>
      <c r="P39" s="54">
        <v>8</v>
      </c>
      <c r="Q39" s="19">
        <f>P39/60</f>
        <v>0.13333333333333333</v>
      </c>
      <c r="R39" s="108">
        <f t="shared" si="3"/>
        <v>15.6</v>
      </c>
      <c r="S39" s="12"/>
      <c r="T39" s="57"/>
      <c r="U39" s="19"/>
      <c r="V39" s="108">
        <f t="shared" si="4"/>
        <v>0</v>
      </c>
    </row>
    <row r="40" spans="2:22">
      <c r="B40" s="159"/>
      <c r="C40" s="12" t="s">
        <v>226</v>
      </c>
      <c r="D40" s="54">
        <v>20</v>
      </c>
      <c r="E40" s="13">
        <f>D40/55</f>
        <v>0.36363636363636365</v>
      </c>
      <c r="F40" s="108">
        <f t="shared" si="0"/>
        <v>39</v>
      </c>
      <c r="G40" s="12" t="s">
        <v>151</v>
      </c>
      <c r="H40" s="57">
        <v>5</v>
      </c>
      <c r="I40" s="14">
        <f t="shared" ref="I40" si="27">H40/100</f>
        <v>0.05</v>
      </c>
      <c r="J40" s="108">
        <f t="shared" si="1"/>
        <v>9.75</v>
      </c>
      <c r="K40" s="12" t="s">
        <v>66</v>
      </c>
      <c r="L40" s="7">
        <v>10</v>
      </c>
      <c r="M40" s="14">
        <f t="shared" si="26"/>
        <v>0.1</v>
      </c>
      <c r="N40" s="108">
        <f t="shared" si="2"/>
        <v>19.5</v>
      </c>
      <c r="O40" s="12" t="s">
        <v>155</v>
      </c>
      <c r="P40" s="54">
        <v>0.1</v>
      </c>
      <c r="Q40" s="14">
        <f t="shared" ref="Q40" si="28">P40/100</f>
        <v>1E-3</v>
      </c>
      <c r="R40" s="108">
        <f t="shared" si="3"/>
        <v>0.19500000000000001</v>
      </c>
      <c r="S40" s="12" t="s">
        <v>119</v>
      </c>
      <c r="T40" s="57">
        <v>5</v>
      </c>
      <c r="U40" s="18">
        <f>T40/20</f>
        <v>0.25</v>
      </c>
      <c r="V40" s="108">
        <f>T40*1950/1000/0.6</f>
        <v>16.25</v>
      </c>
    </row>
    <row r="41" spans="2:22">
      <c r="B41" s="159"/>
      <c r="C41" s="12"/>
      <c r="D41" s="54"/>
      <c r="E41" s="19">
        <f>D41*0.3/35</f>
        <v>0</v>
      </c>
      <c r="F41" s="108">
        <f t="shared" si="0"/>
        <v>0</v>
      </c>
      <c r="G41" s="12" t="s">
        <v>79</v>
      </c>
      <c r="H41" s="57">
        <v>2</v>
      </c>
      <c r="I41" s="19"/>
      <c r="J41" s="108">
        <f t="shared" si="1"/>
        <v>3.9</v>
      </c>
      <c r="K41" s="12" t="s">
        <v>149</v>
      </c>
      <c r="L41" s="7">
        <v>10</v>
      </c>
      <c r="M41" s="19">
        <f>L41/60</f>
        <v>0.16666666666666666</v>
      </c>
      <c r="N41" s="108">
        <f t="shared" si="2"/>
        <v>19.5</v>
      </c>
      <c r="O41" s="12" t="s">
        <v>301</v>
      </c>
      <c r="P41" s="54">
        <v>5</v>
      </c>
      <c r="Q41" s="19"/>
      <c r="R41" s="108">
        <f t="shared" si="3"/>
        <v>9.75</v>
      </c>
      <c r="S41" s="12" t="s">
        <v>120</v>
      </c>
      <c r="T41" s="57">
        <v>3</v>
      </c>
      <c r="U41" s="18">
        <f>T41/20</f>
        <v>0.15</v>
      </c>
      <c r="V41" s="108">
        <f t="shared" si="4"/>
        <v>5.85</v>
      </c>
    </row>
    <row r="42" spans="2:22" ht="20.25" customHeight="1">
      <c r="B42" s="159"/>
      <c r="C42" s="12"/>
      <c r="D42" s="54"/>
      <c r="E42" s="19"/>
      <c r="F42" s="108">
        <f t="shared" si="0"/>
        <v>0</v>
      </c>
      <c r="G42" s="12"/>
      <c r="H42" s="54"/>
      <c r="I42" s="19"/>
      <c r="J42" s="108">
        <f t="shared" si="1"/>
        <v>0</v>
      </c>
      <c r="K42" s="55" t="s">
        <v>101</v>
      </c>
      <c r="L42" s="7">
        <v>15</v>
      </c>
      <c r="M42" s="83">
        <f>L42/55</f>
        <v>0.27272727272727271</v>
      </c>
      <c r="N42" s="108">
        <f t="shared" si="2"/>
        <v>29.25</v>
      </c>
      <c r="O42" s="12"/>
      <c r="P42" s="54"/>
      <c r="Q42" s="19"/>
      <c r="R42" s="108">
        <f t="shared" si="3"/>
        <v>0</v>
      </c>
      <c r="S42" s="12"/>
      <c r="T42" s="57"/>
      <c r="U42" s="19"/>
      <c r="V42" s="108">
        <f t="shared" si="4"/>
        <v>0</v>
      </c>
    </row>
    <row r="43" spans="2:22">
      <c r="B43" s="159"/>
      <c r="C43" s="12"/>
      <c r="D43" s="54"/>
      <c r="E43" s="59"/>
      <c r="F43" s="108">
        <f t="shared" si="0"/>
        <v>0</v>
      </c>
      <c r="G43" s="12"/>
      <c r="H43" s="54"/>
      <c r="I43" s="59"/>
      <c r="J43" s="108">
        <f t="shared" si="1"/>
        <v>0</v>
      </c>
      <c r="K43" s="55"/>
      <c r="L43" s="65"/>
      <c r="M43" s="59"/>
      <c r="N43" s="108">
        <f t="shared" si="2"/>
        <v>0</v>
      </c>
      <c r="O43" s="12"/>
      <c r="P43" s="54"/>
      <c r="Q43" s="59"/>
      <c r="R43" s="108">
        <f t="shared" si="3"/>
        <v>0</v>
      </c>
      <c r="S43" s="12"/>
      <c r="T43" s="57"/>
      <c r="U43" s="59"/>
      <c r="V43" s="108">
        <f t="shared" si="4"/>
        <v>0</v>
      </c>
    </row>
    <row r="44" spans="2:22">
      <c r="B44" s="159"/>
      <c r="C44" s="17"/>
      <c r="D44" s="47"/>
      <c r="E44" s="56">
        <f>D44+D38+D39+D40+D41+D42+D43</f>
        <v>33</v>
      </c>
      <c r="F44" s="108">
        <f t="shared" si="0"/>
        <v>0</v>
      </c>
      <c r="G44" s="17"/>
      <c r="H44" s="47"/>
      <c r="I44" s="56">
        <f>H44+H38+H39+H40+H41+H42+H43</f>
        <v>47</v>
      </c>
      <c r="J44" s="108">
        <f t="shared" si="1"/>
        <v>0</v>
      </c>
      <c r="K44" s="17"/>
      <c r="L44" s="47"/>
      <c r="M44" s="56">
        <f>L44+L38+L39+L40+L41+L42+L43</f>
        <v>55</v>
      </c>
      <c r="N44" s="108">
        <f t="shared" si="2"/>
        <v>0</v>
      </c>
      <c r="O44" s="17"/>
      <c r="P44" s="47"/>
      <c r="Q44" s="56">
        <f>P44+P38+P39+P40+P41+P42+P43</f>
        <v>18.100000000000001</v>
      </c>
      <c r="R44" s="108">
        <f t="shared" si="3"/>
        <v>0</v>
      </c>
      <c r="S44" s="17"/>
      <c r="T44" s="48"/>
      <c r="U44" s="56">
        <f>T44+T38+T39+T40+T41+T42+T43</f>
        <v>63</v>
      </c>
      <c r="V44" s="108">
        <f t="shared" si="4"/>
        <v>0</v>
      </c>
    </row>
    <row r="45" spans="2:22" ht="24" customHeight="1">
      <c r="B45" s="66" t="s">
        <v>20</v>
      </c>
      <c r="C45" s="161"/>
      <c r="D45" s="162"/>
      <c r="E45" s="67"/>
      <c r="F45" s="109"/>
      <c r="G45" s="161" t="s">
        <v>383</v>
      </c>
      <c r="H45" s="162"/>
      <c r="I45" s="67"/>
      <c r="J45" s="109"/>
      <c r="K45" s="161"/>
      <c r="L45" s="162"/>
      <c r="M45" s="67"/>
      <c r="N45" s="109"/>
      <c r="O45" s="161" t="s">
        <v>360</v>
      </c>
      <c r="P45" s="162"/>
      <c r="Q45" s="67"/>
      <c r="R45" s="109"/>
      <c r="S45" s="161"/>
      <c r="T45" s="162"/>
      <c r="U45" s="67"/>
      <c r="V45" s="109"/>
    </row>
    <row r="46" spans="2:22" ht="21.75" customHeight="1">
      <c r="B46" s="163"/>
      <c r="C46" s="68" t="s">
        <v>24</v>
      </c>
      <c r="D46" s="44">
        <v>4.3</v>
      </c>
      <c r="E46" s="69">
        <f>E5+E40+E23+E24</f>
        <v>5.3459595959595951</v>
      </c>
      <c r="F46" s="110"/>
      <c r="G46" s="68" t="s">
        <v>24</v>
      </c>
      <c r="H46" s="44">
        <f>I46</f>
        <v>4.5</v>
      </c>
      <c r="I46" s="69">
        <f>I5+I6</f>
        <v>4.5</v>
      </c>
      <c r="J46" s="110"/>
      <c r="K46" s="68" t="s">
        <v>24</v>
      </c>
      <c r="L46" s="44">
        <v>4.0999999999999996</v>
      </c>
      <c r="M46" s="69">
        <f>M42+M38+M16+M5</f>
        <v>3.9393939393939394</v>
      </c>
      <c r="N46" s="110"/>
      <c r="O46" s="68" t="s">
        <v>24</v>
      </c>
      <c r="P46" s="70">
        <v>4.3</v>
      </c>
      <c r="Q46" s="69">
        <f>Q5+Q6+Q26</f>
        <v>4.6500000000000004</v>
      </c>
      <c r="R46" s="110"/>
      <c r="S46" s="68" t="s">
        <v>24</v>
      </c>
      <c r="T46" s="70">
        <v>4.2</v>
      </c>
      <c r="U46" s="69">
        <f>U5+U6+U15+U40+U41</f>
        <v>4.8722222222222227</v>
      </c>
      <c r="V46" s="110"/>
    </row>
    <row r="47" spans="2:22">
      <c r="B47" s="164"/>
      <c r="C47" s="71" t="s">
        <v>25</v>
      </c>
      <c r="D47" s="44">
        <f t="shared" ref="D46:D50" si="29">E47</f>
        <v>0</v>
      </c>
      <c r="E47" s="69">
        <v>0</v>
      </c>
      <c r="F47" s="110"/>
      <c r="G47" s="71" t="s">
        <v>25</v>
      </c>
      <c r="H47" s="44">
        <f t="shared" ref="H47:H49" si="30">I47</f>
        <v>0</v>
      </c>
      <c r="I47" s="69"/>
      <c r="J47" s="110"/>
      <c r="K47" s="71" t="s">
        <v>25</v>
      </c>
      <c r="L47" s="44">
        <f t="shared" ref="L46:L50" si="31">M47</f>
        <v>0</v>
      </c>
      <c r="M47" s="69"/>
      <c r="N47" s="110"/>
      <c r="O47" s="71" t="s">
        <v>25</v>
      </c>
      <c r="P47" s="70">
        <v>1</v>
      </c>
      <c r="Q47" s="69"/>
      <c r="R47" s="110"/>
      <c r="S47" s="71" t="s">
        <v>25</v>
      </c>
      <c r="T47" s="70">
        <f>U47</f>
        <v>0</v>
      </c>
      <c r="U47" s="69"/>
      <c r="V47" s="110"/>
    </row>
    <row r="48" spans="2:22">
      <c r="B48" s="164"/>
      <c r="C48" s="71" t="s">
        <v>4</v>
      </c>
      <c r="D48" s="44">
        <f t="shared" si="29"/>
        <v>1.9678571428571425</v>
      </c>
      <c r="E48" s="69">
        <f>E41+E26+E16+E14</f>
        <v>1.9678571428571425</v>
      </c>
      <c r="F48" s="110"/>
      <c r="G48" s="71" t="s">
        <v>4</v>
      </c>
      <c r="H48" s="44">
        <f t="shared" si="30"/>
        <v>2.4</v>
      </c>
      <c r="I48" s="69">
        <f>I39+I23+I27+I14+I37+I43</f>
        <v>2.4</v>
      </c>
      <c r="J48" s="110"/>
      <c r="K48" s="71" t="s">
        <v>4</v>
      </c>
      <c r="L48" s="44">
        <f t="shared" si="31"/>
        <v>2.2056277056277058</v>
      </c>
      <c r="M48" s="69">
        <f>M41+M24+M14</f>
        <v>2.2056277056277058</v>
      </c>
      <c r="N48" s="110"/>
      <c r="O48" s="71" t="s">
        <v>4</v>
      </c>
      <c r="P48" s="70">
        <v>2</v>
      </c>
      <c r="Q48" s="69">
        <f>Q39+Q25+Q14+Q16</f>
        <v>1.406060606060606</v>
      </c>
      <c r="R48" s="110"/>
      <c r="S48" s="71" t="s">
        <v>4</v>
      </c>
      <c r="T48" s="70">
        <f>U48</f>
        <v>2.2857142857142856</v>
      </c>
      <c r="U48" s="69">
        <f>U18+U25+U14</f>
        <v>2.2857142857142856</v>
      </c>
      <c r="V48" s="110"/>
    </row>
    <row r="49" spans="2:22">
      <c r="B49" s="164"/>
      <c r="C49" s="71" t="s">
        <v>5</v>
      </c>
      <c r="D49" s="44">
        <v>1.9</v>
      </c>
      <c r="E49" s="69">
        <f>E42+E39+E38+E34+E33+E32+E28+E27+E25</f>
        <v>1.1000000000000001</v>
      </c>
      <c r="F49" s="110"/>
      <c r="G49" s="71" t="s">
        <v>5</v>
      </c>
      <c r="H49" s="44">
        <v>1.6</v>
      </c>
      <c r="I49" s="69">
        <f>I40+I38+I34+I33+I32+I26+I25+I24+I17+I18+I19</f>
        <v>1.1930000000000001</v>
      </c>
      <c r="J49" s="110"/>
      <c r="K49" s="71" t="s">
        <v>5</v>
      </c>
      <c r="L49" s="44">
        <v>1.7</v>
      </c>
      <c r="M49" s="69">
        <f>M40+M39+M34+M33+M32+M26+M25+M23+M15</f>
        <v>1.26</v>
      </c>
      <c r="N49" s="110"/>
      <c r="O49" s="71" t="s">
        <v>5</v>
      </c>
      <c r="P49" s="70">
        <v>1.6</v>
      </c>
      <c r="Q49" s="69">
        <f>Q40+Q38+Q34+Q33+Q32+Q28+Q27+Q24+Q23+Q15</f>
        <v>1.456</v>
      </c>
      <c r="R49" s="110"/>
      <c r="S49" s="71" t="s">
        <v>5</v>
      </c>
      <c r="T49" s="70">
        <v>1.9</v>
      </c>
      <c r="U49" s="69">
        <f>U34+U33+U32+U26+U24+U23+U17+U16</f>
        <v>1.41</v>
      </c>
      <c r="V49" s="110"/>
    </row>
    <row r="50" spans="2:22">
      <c r="B50" s="164"/>
      <c r="C50" s="71" t="s">
        <v>6</v>
      </c>
      <c r="D50" s="44">
        <f t="shared" si="29"/>
        <v>0</v>
      </c>
      <c r="E50" s="69"/>
      <c r="F50" s="110"/>
      <c r="G50" s="71" t="s">
        <v>6</v>
      </c>
      <c r="H50" s="44">
        <v>1</v>
      </c>
      <c r="I50" s="69"/>
      <c r="J50" s="110"/>
      <c r="K50" s="71" t="s">
        <v>6</v>
      </c>
      <c r="L50" s="44">
        <f t="shared" si="31"/>
        <v>0</v>
      </c>
      <c r="M50" s="69"/>
      <c r="N50" s="110"/>
      <c r="O50" s="71" t="s">
        <v>6</v>
      </c>
      <c r="P50" s="70">
        <f>Q50</f>
        <v>0</v>
      </c>
      <c r="Q50" s="69"/>
      <c r="R50" s="110"/>
      <c r="S50" s="71" t="s">
        <v>6</v>
      </c>
      <c r="T50" s="70">
        <f>U50</f>
        <v>0</v>
      </c>
      <c r="U50" s="69"/>
      <c r="V50" s="110"/>
    </row>
    <row r="51" spans="2:22" ht="18.75" customHeight="1">
      <c r="B51" s="164"/>
      <c r="C51" s="153" t="s">
        <v>7</v>
      </c>
      <c r="D51" s="44">
        <f>E51</f>
        <v>2.5</v>
      </c>
      <c r="E51" s="69">
        <v>2.5</v>
      </c>
      <c r="F51" s="104"/>
      <c r="G51" s="153" t="s">
        <v>7</v>
      </c>
      <c r="H51" s="44">
        <f>I51</f>
        <v>2.5</v>
      </c>
      <c r="I51" s="69">
        <v>2.5</v>
      </c>
      <c r="J51" s="104"/>
      <c r="K51" s="153" t="s">
        <v>7</v>
      </c>
      <c r="L51" s="44">
        <f>M51</f>
        <v>2.5</v>
      </c>
      <c r="M51" s="69">
        <v>2.5</v>
      </c>
      <c r="N51" s="110"/>
      <c r="O51" s="153" t="s">
        <v>7</v>
      </c>
      <c r="P51" s="70">
        <f>Q51</f>
        <v>2.5</v>
      </c>
      <c r="Q51" s="69">
        <v>2.5</v>
      </c>
      <c r="R51" s="110"/>
      <c r="S51" s="153" t="s">
        <v>7</v>
      </c>
      <c r="T51" s="70">
        <f>U51</f>
        <v>2.5</v>
      </c>
      <c r="U51" s="69">
        <v>2.5</v>
      </c>
      <c r="V51" s="110"/>
    </row>
    <row r="52" spans="2:22">
      <c r="B52" s="164"/>
      <c r="C52" s="153"/>
      <c r="D52" s="44"/>
      <c r="E52" s="69">
        <v>0</v>
      </c>
      <c r="F52" s="104"/>
      <c r="G52" s="153"/>
      <c r="H52" s="44"/>
      <c r="I52" s="69">
        <v>0</v>
      </c>
      <c r="J52" s="104"/>
      <c r="K52" s="153"/>
      <c r="L52" s="44"/>
      <c r="M52" s="69">
        <v>0</v>
      </c>
      <c r="N52" s="110"/>
      <c r="O52" s="153"/>
      <c r="P52" s="70"/>
      <c r="Q52" s="69">
        <v>0</v>
      </c>
      <c r="R52" s="110"/>
      <c r="S52" s="153"/>
      <c r="T52" s="70"/>
      <c r="U52" s="69">
        <v>0</v>
      </c>
      <c r="V52" s="110"/>
    </row>
    <row r="53" spans="2:22">
      <c r="B53" s="165"/>
      <c r="C53" s="72" t="s">
        <v>8</v>
      </c>
      <c r="D53" s="73">
        <f t="shared" ref="D53" si="32">D46*70+D47*120+D48*75+D49*25+D50*60+D51*45</f>
        <v>608.58928571428567</v>
      </c>
      <c r="E53" s="74"/>
      <c r="F53" s="111"/>
      <c r="G53" s="72" t="s">
        <v>8</v>
      </c>
      <c r="H53" s="73">
        <f>H46*70+H47*120+H48*75+H49*25+H50*60+H51*45</f>
        <v>707.5</v>
      </c>
      <c r="I53" s="74"/>
      <c r="J53" s="111"/>
      <c r="K53" s="72" t="s">
        <v>8</v>
      </c>
      <c r="L53" s="73">
        <f t="shared" ref="L53" si="33">L46*70+L47*120+L48*75+L49*25+L50*60+L51*45</f>
        <v>607.42207792207796</v>
      </c>
      <c r="M53" s="74"/>
      <c r="N53" s="111"/>
      <c r="O53" s="72" t="s">
        <v>8</v>
      </c>
      <c r="P53" s="75">
        <f t="shared" ref="P53" si="34">P46*70+P47*120+P48*75+P49*25+P50*60+P51*45</f>
        <v>723.5</v>
      </c>
      <c r="Q53" s="74"/>
      <c r="R53" s="111"/>
      <c r="S53" s="72" t="s">
        <v>8</v>
      </c>
      <c r="T53" s="75">
        <f t="shared" ref="T53" si="35">T46*70+T47*120+T48*75+T49*25+T50*60+T51*45</f>
        <v>625.42857142857144</v>
      </c>
      <c r="U53" s="74"/>
      <c r="V53" s="111"/>
    </row>
    <row r="54" spans="2:22">
      <c r="B54" s="76"/>
    </row>
    <row r="55" spans="2:22">
      <c r="B55" s="76"/>
    </row>
    <row r="56" spans="2:22">
      <c r="B56" s="76"/>
    </row>
  </sheetData>
  <mergeCells count="49">
    <mergeCell ref="B1:T1"/>
    <mergeCell ref="S13:T13"/>
    <mergeCell ref="S3:T3"/>
    <mergeCell ref="B4:B12"/>
    <mergeCell ref="C4:D4"/>
    <mergeCell ref="G4:H4"/>
    <mergeCell ref="K4:L4"/>
    <mergeCell ref="O4:P4"/>
    <mergeCell ref="S4:T4"/>
    <mergeCell ref="B13:B21"/>
    <mergeCell ref="C13:D13"/>
    <mergeCell ref="G13:H13"/>
    <mergeCell ref="K13:L13"/>
    <mergeCell ref="O13:P13"/>
    <mergeCell ref="G2:H2"/>
    <mergeCell ref="C3:D3"/>
    <mergeCell ref="G3:H3"/>
    <mergeCell ref="K3:L3"/>
    <mergeCell ref="O3:P3"/>
    <mergeCell ref="B31:B36"/>
    <mergeCell ref="C31:D31"/>
    <mergeCell ref="G31:H31"/>
    <mergeCell ref="K31:L31"/>
    <mergeCell ref="O31:P31"/>
    <mergeCell ref="B22:B30"/>
    <mergeCell ref="C22:D22"/>
    <mergeCell ref="G22:H22"/>
    <mergeCell ref="K22:L22"/>
    <mergeCell ref="O22:P22"/>
    <mergeCell ref="B37:B44"/>
    <mergeCell ref="C37:D37"/>
    <mergeCell ref="G37:H37"/>
    <mergeCell ref="K37:L37"/>
    <mergeCell ref="O37:P37"/>
    <mergeCell ref="B46:B53"/>
    <mergeCell ref="C51:C52"/>
    <mergeCell ref="G51:G52"/>
    <mergeCell ref="K51:K52"/>
    <mergeCell ref="O51:O52"/>
    <mergeCell ref="S51:S52"/>
    <mergeCell ref="G16:H16"/>
    <mergeCell ref="C45:D45"/>
    <mergeCell ref="G45:H45"/>
    <mergeCell ref="K45:L45"/>
    <mergeCell ref="O45:P45"/>
    <mergeCell ref="S45:T45"/>
    <mergeCell ref="S37:T37"/>
    <mergeCell ref="S31:T31"/>
    <mergeCell ref="S22:T22"/>
  </mergeCells>
  <phoneticPr fontId="2" type="noConversion"/>
  <printOptions horizontalCentered="1" verticalCentered="1"/>
  <pageMargins left="0" right="0" top="0" bottom="0" header="0.31496062992125984" footer="0.31496062992125984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56"/>
  <sheetViews>
    <sheetView view="pageBreakPreview" topLeftCell="A25" zoomScaleNormal="85" zoomScaleSheetLayoutView="100" workbookViewId="0">
      <selection activeCell="P47" sqref="P47"/>
    </sheetView>
  </sheetViews>
  <sheetFormatPr defaultColWidth="9" defaultRowHeight="19.5"/>
  <cols>
    <col min="1" max="1" width="0.75" style="5" customWidth="1"/>
    <col min="2" max="2" width="7.625" style="79" customWidth="1"/>
    <col min="3" max="3" width="9.375" style="5" customWidth="1"/>
    <col min="4" max="4" width="9.375" style="77" customWidth="1"/>
    <col min="5" max="5" width="9.375" style="77" hidden="1" customWidth="1"/>
    <col min="6" max="6" width="9.125" style="112" hidden="1" customWidth="1"/>
    <col min="7" max="7" width="9.375" style="5" customWidth="1"/>
    <col min="8" max="8" width="9.375" style="77" customWidth="1"/>
    <col min="9" max="9" width="9.375" style="77" hidden="1" customWidth="1"/>
    <col min="10" max="10" width="9.125" style="112" hidden="1" customWidth="1"/>
    <col min="11" max="11" width="9.375" style="5" customWidth="1"/>
    <col min="12" max="12" width="9.375" style="77" customWidth="1"/>
    <col min="13" max="13" width="9.375" style="77" hidden="1" customWidth="1"/>
    <col min="14" max="14" width="9.125" style="112" hidden="1" customWidth="1"/>
    <col min="15" max="15" width="9.375" style="5" customWidth="1"/>
    <col min="16" max="16" width="9.375" style="78" customWidth="1"/>
    <col min="17" max="17" width="9.375" style="5" hidden="1" customWidth="1"/>
    <col min="18" max="18" width="9.125" style="112" hidden="1" customWidth="1"/>
    <col min="19" max="19" width="9.375" style="5" customWidth="1"/>
    <col min="20" max="20" width="9.375" style="78" customWidth="1"/>
    <col min="21" max="21" width="9.375" style="5" hidden="1" customWidth="1"/>
    <col min="22" max="22" width="9.125" style="112" hidden="1" customWidth="1"/>
    <col min="23" max="16384" width="9" style="5"/>
  </cols>
  <sheetData>
    <row r="1" spans="2:22" s="3" customFormat="1">
      <c r="B1" s="151" t="s">
        <v>380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S1" s="152"/>
      <c r="T1" s="152"/>
      <c r="U1" s="43"/>
      <c r="V1" s="43"/>
    </row>
    <row r="2" spans="2:22" s="3" customFormat="1" ht="18.75" customHeight="1">
      <c r="B2" s="20" t="s">
        <v>0</v>
      </c>
      <c r="C2" s="4"/>
      <c r="D2" s="44"/>
      <c r="E2" s="44"/>
      <c r="F2" s="106"/>
      <c r="G2" s="154"/>
      <c r="H2" s="154"/>
      <c r="I2" s="44"/>
      <c r="J2" s="106"/>
      <c r="K2" s="4"/>
      <c r="L2" s="44"/>
      <c r="M2" s="44"/>
      <c r="N2" s="106"/>
      <c r="O2" s="42"/>
      <c r="P2" s="45"/>
      <c r="Q2" s="4"/>
      <c r="R2" s="106"/>
      <c r="S2" s="42"/>
      <c r="T2" s="45"/>
      <c r="U2" s="4"/>
      <c r="V2" s="106"/>
    </row>
    <row r="3" spans="2:22" ht="21" customHeight="1">
      <c r="B3" s="46" t="s">
        <v>1</v>
      </c>
      <c r="C3" s="155">
        <v>43059</v>
      </c>
      <c r="D3" s="156"/>
      <c r="E3" s="87"/>
      <c r="F3" s="107"/>
      <c r="G3" s="155">
        <v>43060</v>
      </c>
      <c r="H3" s="156"/>
      <c r="I3" s="87"/>
      <c r="J3" s="107"/>
      <c r="K3" s="155">
        <v>43061</v>
      </c>
      <c r="L3" s="156"/>
      <c r="M3" s="87"/>
      <c r="N3" s="107"/>
      <c r="O3" s="155">
        <v>43062</v>
      </c>
      <c r="P3" s="156"/>
      <c r="Q3" s="87"/>
      <c r="R3" s="107"/>
      <c r="S3" s="155">
        <v>43063</v>
      </c>
      <c r="T3" s="156"/>
      <c r="U3" s="87"/>
      <c r="V3" s="107"/>
    </row>
    <row r="4" spans="2:22" ht="19.5" customHeight="1">
      <c r="B4" s="159" t="s">
        <v>15</v>
      </c>
      <c r="C4" s="157" t="s">
        <v>38</v>
      </c>
      <c r="D4" s="160"/>
      <c r="E4" s="88"/>
      <c r="F4" s="101"/>
      <c r="G4" s="157" t="s">
        <v>71</v>
      </c>
      <c r="H4" s="160"/>
      <c r="I4" s="88"/>
      <c r="J4" s="101"/>
      <c r="K4" s="157" t="s">
        <v>315</v>
      </c>
      <c r="L4" s="160"/>
      <c r="M4" s="88"/>
      <c r="N4" s="101"/>
      <c r="O4" s="157" t="s">
        <v>323</v>
      </c>
      <c r="P4" s="160"/>
      <c r="Q4" s="88"/>
      <c r="R4" s="101"/>
      <c r="S4" s="157" t="s">
        <v>170</v>
      </c>
      <c r="T4" s="160"/>
      <c r="U4" s="88"/>
      <c r="V4" s="101"/>
    </row>
    <row r="5" spans="2:22" ht="19.5" customHeight="1">
      <c r="B5" s="159"/>
      <c r="C5" s="21" t="s">
        <v>134</v>
      </c>
      <c r="D5" s="85">
        <v>85</v>
      </c>
      <c r="E5" s="83">
        <f>D5/20</f>
        <v>4.25</v>
      </c>
      <c r="F5" s="108">
        <f>D5*1950/1000</f>
        <v>165.75</v>
      </c>
      <c r="G5" s="21" t="s">
        <v>134</v>
      </c>
      <c r="H5" s="85">
        <v>85</v>
      </c>
      <c r="I5" s="83">
        <f t="shared" ref="I5:I6" si="0">H5/20</f>
        <v>4.25</v>
      </c>
      <c r="J5" s="108">
        <f>H5*1950/1000</f>
        <v>165.75</v>
      </c>
      <c r="K5" s="96" t="s">
        <v>3</v>
      </c>
      <c r="L5" s="97">
        <v>80</v>
      </c>
      <c r="M5" s="117">
        <f>L5/20</f>
        <v>4</v>
      </c>
      <c r="N5" s="108">
        <f>L5*1950/1000</f>
        <v>156</v>
      </c>
      <c r="O5" s="21" t="s">
        <v>134</v>
      </c>
      <c r="P5" s="85">
        <v>80</v>
      </c>
      <c r="Q5" s="83">
        <f t="shared" ref="Q5:Q6" si="1">P5/20</f>
        <v>4</v>
      </c>
      <c r="R5" s="108">
        <f>P5*1950/1000</f>
        <v>156</v>
      </c>
      <c r="S5" s="21" t="s">
        <v>134</v>
      </c>
      <c r="T5" s="85">
        <v>80</v>
      </c>
      <c r="U5" s="83">
        <f t="shared" ref="U5:U6" si="2">T5/20</f>
        <v>4</v>
      </c>
      <c r="V5" s="108">
        <f>T5*1950/1000</f>
        <v>156</v>
      </c>
    </row>
    <row r="6" spans="2:22" ht="19.5" customHeight="1">
      <c r="B6" s="159"/>
      <c r="C6" s="21"/>
      <c r="D6" s="57"/>
      <c r="E6" s="89"/>
      <c r="F6" s="108">
        <f t="shared" ref="F6" si="3">D6*1950/1000</f>
        <v>0</v>
      </c>
      <c r="G6" s="21" t="s">
        <v>74</v>
      </c>
      <c r="H6" s="57">
        <v>5</v>
      </c>
      <c r="I6" s="83">
        <f t="shared" si="0"/>
        <v>0.25</v>
      </c>
      <c r="J6" s="108">
        <f t="shared" ref="J6:J44" si="4">H6*1950/1000</f>
        <v>9.75</v>
      </c>
      <c r="K6" s="118" t="s">
        <v>180</v>
      </c>
      <c r="L6" s="119">
        <v>10</v>
      </c>
      <c r="M6" s="80">
        <f>L6/55</f>
        <v>0.18181818181818182</v>
      </c>
      <c r="N6" s="108">
        <f t="shared" ref="N6:N35" si="5">L6*1950/1000</f>
        <v>19.5</v>
      </c>
      <c r="O6" s="21"/>
      <c r="P6" s="57"/>
      <c r="Q6" s="83">
        <f t="shared" si="1"/>
        <v>0</v>
      </c>
      <c r="R6" s="108">
        <f t="shared" ref="R6:R39" si="6">P6*1950/1000</f>
        <v>0</v>
      </c>
      <c r="S6" s="21" t="s">
        <v>173</v>
      </c>
      <c r="T6" s="57">
        <v>5</v>
      </c>
      <c r="U6" s="83">
        <f t="shared" si="2"/>
        <v>0.25</v>
      </c>
      <c r="V6" s="108">
        <f>T6*1950/1000/0.6</f>
        <v>16.25</v>
      </c>
    </row>
    <row r="7" spans="2:22" ht="19.5" customHeight="1">
      <c r="B7" s="159"/>
      <c r="C7" s="61"/>
      <c r="D7" s="57"/>
      <c r="E7" s="56"/>
      <c r="F7" s="108">
        <f t="shared" ref="F7:F44" si="7">D7*1950/1000</f>
        <v>0</v>
      </c>
      <c r="G7" s="61"/>
      <c r="H7" s="57"/>
      <c r="I7" s="56"/>
      <c r="J7" s="108">
        <f t="shared" si="4"/>
        <v>0</v>
      </c>
      <c r="K7" s="118" t="s">
        <v>178</v>
      </c>
      <c r="L7" s="119">
        <v>2</v>
      </c>
      <c r="M7" s="120">
        <f>L7/100</f>
        <v>0.02</v>
      </c>
      <c r="N7" s="108">
        <f t="shared" si="5"/>
        <v>3.9</v>
      </c>
      <c r="O7" s="61"/>
      <c r="P7" s="57"/>
      <c r="Q7" s="56"/>
      <c r="R7" s="108">
        <f t="shared" si="6"/>
        <v>0</v>
      </c>
      <c r="S7" s="61"/>
      <c r="T7" s="57"/>
      <c r="U7" s="56"/>
      <c r="V7" s="108">
        <f t="shared" ref="V7:V44" si="8">T7*1950/1000</f>
        <v>0</v>
      </c>
    </row>
    <row r="8" spans="2:22" ht="19.5" customHeight="1">
      <c r="B8" s="159"/>
      <c r="C8" s="17"/>
      <c r="D8" s="48"/>
      <c r="E8" s="56"/>
      <c r="F8" s="108">
        <f t="shared" si="7"/>
        <v>0</v>
      </c>
      <c r="G8" s="17"/>
      <c r="H8" s="48"/>
      <c r="I8" s="56"/>
      <c r="J8" s="108">
        <f t="shared" si="4"/>
        <v>0</v>
      </c>
      <c r="K8" s="118" t="s">
        <v>159</v>
      </c>
      <c r="L8" s="119">
        <v>24</v>
      </c>
      <c r="M8" s="121">
        <f>L8/65</f>
        <v>0.36923076923076925</v>
      </c>
      <c r="N8" s="108">
        <f t="shared" si="5"/>
        <v>46.8</v>
      </c>
      <c r="O8" s="17"/>
      <c r="P8" s="48"/>
      <c r="Q8" s="56"/>
      <c r="R8" s="108">
        <f t="shared" si="6"/>
        <v>0</v>
      </c>
      <c r="S8" s="17"/>
      <c r="T8" s="48"/>
      <c r="U8" s="56"/>
      <c r="V8" s="108">
        <f t="shared" si="8"/>
        <v>0</v>
      </c>
    </row>
    <row r="9" spans="2:22" ht="19.5" customHeight="1">
      <c r="B9" s="159"/>
      <c r="C9" s="49"/>
      <c r="D9" s="51"/>
      <c r="E9" s="59"/>
      <c r="F9" s="108">
        <f t="shared" si="7"/>
        <v>0</v>
      </c>
      <c r="G9" s="49"/>
      <c r="H9" s="51"/>
      <c r="I9" s="59"/>
      <c r="J9" s="108">
        <f t="shared" si="4"/>
        <v>0</v>
      </c>
      <c r="K9" s="118" t="s">
        <v>179</v>
      </c>
      <c r="L9" s="119">
        <v>8</v>
      </c>
      <c r="M9" s="122">
        <f>L9/100</f>
        <v>0.08</v>
      </c>
      <c r="N9" s="108">
        <f t="shared" si="5"/>
        <v>15.6</v>
      </c>
      <c r="O9" s="49"/>
      <c r="P9" s="51"/>
      <c r="Q9" s="59"/>
      <c r="R9" s="108">
        <f t="shared" si="6"/>
        <v>0</v>
      </c>
      <c r="S9" s="49"/>
      <c r="T9" s="51"/>
      <c r="U9" s="59"/>
      <c r="V9" s="108">
        <f t="shared" si="8"/>
        <v>0</v>
      </c>
    </row>
    <row r="10" spans="2:22">
      <c r="B10" s="159"/>
      <c r="C10" s="49"/>
      <c r="D10" s="51"/>
      <c r="E10" s="59"/>
      <c r="F10" s="108">
        <f t="shared" si="7"/>
        <v>0</v>
      </c>
      <c r="G10" s="49"/>
      <c r="H10" s="51"/>
      <c r="I10" s="59"/>
      <c r="J10" s="108">
        <f t="shared" si="4"/>
        <v>0</v>
      </c>
      <c r="K10" s="118" t="s">
        <v>85</v>
      </c>
      <c r="L10" s="119">
        <v>30</v>
      </c>
      <c r="M10" s="122">
        <f>L10/100</f>
        <v>0.3</v>
      </c>
      <c r="N10" s="108">
        <f t="shared" si="5"/>
        <v>58.5</v>
      </c>
      <c r="O10" s="49"/>
      <c r="P10" s="51"/>
      <c r="Q10" s="59"/>
      <c r="R10" s="108">
        <f t="shared" si="6"/>
        <v>0</v>
      </c>
      <c r="S10" s="49"/>
      <c r="T10" s="51"/>
      <c r="U10" s="59"/>
      <c r="V10" s="108">
        <f t="shared" si="8"/>
        <v>0</v>
      </c>
    </row>
    <row r="11" spans="2:22">
      <c r="B11" s="159"/>
      <c r="C11" s="49"/>
      <c r="D11" s="51"/>
      <c r="E11" s="59"/>
      <c r="F11" s="108">
        <f t="shared" si="7"/>
        <v>0</v>
      </c>
      <c r="G11" s="49"/>
      <c r="H11" s="51"/>
      <c r="I11" s="59"/>
      <c r="J11" s="108">
        <f t="shared" si="4"/>
        <v>0</v>
      </c>
      <c r="K11" s="49" t="s">
        <v>316</v>
      </c>
      <c r="L11" s="50">
        <v>10</v>
      </c>
      <c r="M11" s="59"/>
      <c r="N11" s="108">
        <f t="shared" si="5"/>
        <v>19.5</v>
      </c>
      <c r="O11" s="49"/>
      <c r="P11" s="51"/>
      <c r="Q11" s="59"/>
      <c r="R11" s="108">
        <f t="shared" si="6"/>
        <v>0</v>
      </c>
      <c r="S11" s="49"/>
      <c r="T11" s="51"/>
      <c r="U11" s="59"/>
      <c r="V11" s="108">
        <f t="shared" si="8"/>
        <v>0</v>
      </c>
    </row>
    <row r="12" spans="2:22">
      <c r="B12" s="159"/>
      <c r="C12" s="49"/>
      <c r="D12" s="51"/>
      <c r="E12" s="81"/>
      <c r="F12" s="108">
        <f t="shared" si="7"/>
        <v>0</v>
      </c>
      <c r="G12" s="49"/>
      <c r="H12" s="51"/>
      <c r="I12" s="59"/>
      <c r="J12" s="108">
        <f t="shared" si="4"/>
        <v>0</v>
      </c>
      <c r="K12" s="49"/>
      <c r="L12" s="50"/>
      <c r="M12" s="59"/>
      <c r="N12" s="108">
        <f t="shared" si="5"/>
        <v>0</v>
      </c>
      <c r="O12" s="49"/>
      <c r="P12" s="51"/>
      <c r="Q12" s="81"/>
      <c r="R12" s="108">
        <f t="shared" si="6"/>
        <v>0</v>
      </c>
      <c r="S12" s="49"/>
      <c r="T12" s="51"/>
      <c r="U12" s="81"/>
      <c r="V12" s="108">
        <f t="shared" si="8"/>
        <v>0</v>
      </c>
    </row>
    <row r="13" spans="2:22">
      <c r="B13" s="159" t="s">
        <v>16</v>
      </c>
      <c r="C13" s="157" t="s">
        <v>122</v>
      </c>
      <c r="D13" s="160"/>
      <c r="E13" s="88"/>
      <c r="F13" s="108">
        <f t="shared" si="7"/>
        <v>0</v>
      </c>
      <c r="G13" s="157" t="s">
        <v>125</v>
      </c>
      <c r="H13" s="160"/>
      <c r="I13" s="102"/>
      <c r="J13" s="108">
        <f t="shared" si="4"/>
        <v>0</v>
      </c>
      <c r="K13" s="157" t="s">
        <v>165</v>
      </c>
      <c r="L13" s="160"/>
      <c r="M13" s="102"/>
      <c r="N13" s="108">
        <f t="shared" si="5"/>
        <v>0</v>
      </c>
      <c r="O13" s="157" t="s">
        <v>166</v>
      </c>
      <c r="P13" s="160"/>
      <c r="Q13" s="88"/>
      <c r="R13" s="108">
        <f t="shared" si="6"/>
        <v>0</v>
      </c>
      <c r="S13" s="157" t="s">
        <v>324</v>
      </c>
      <c r="T13" s="160"/>
      <c r="U13" s="88"/>
      <c r="V13" s="108">
        <f t="shared" si="8"/>
        <v>0</v>
      </c>
    </row>
    <row r="14" spans="2:22">
      <c r="B14" s="159"/>
      <c r="C14" s="10" t="s">
        <v>75</v>
      </c>
      <c r="D14" s="85">
        <v>100</v>
      </c>
      <c r="E14" s="11">
        <f>D14*0.7/40</f>
        <v>1.75</v>
      </c>
      <c r="F14" s="108">
        <f t="shared" si="7"/>
        <v>195</v>
      </c>
      <c r="G14" s="10" t="s">
        <v>94</v>
      </c>
      <c r="H14" s="85">
        <v>60</v>
      </c>
      <c r="I14" s="53">
        <f>H14/35</f>
        <v>1.7142857142857142</v>
      </c>
      <c r="J14" s="108">
        <f t="shared" si="4"/>
        <v>117</v>
      </c>
      <c r="K14" s="10" t="s">
        <v>171</v>
      </c>
      <c r="L14" s="52">
        <v>60</v>
      </c>
      <c r="M14" s="53">
        <f>L14/40</f>
        <v>1.5</v>
      </c>
      <c r="N14" s="108">
        <f t="shared" si="5"/>
        <v>117</v>
      </c>
      <c r="O14" s="10" t="s">
        <v>142</v>
      </c>
      <c r="P14" s="85">
        <v>100</v>
      </c>
      <c r="Q14" s="11">
        <f>P14*0.7*0.5/30</f>
        <v>1.1666666666666667</v>
      </c>
      <c r="R14" s="108">
        <f t="shared" si="6"/>
        <v>195</v>
      </c>
      <c r="S14" s="10" t="s">
        <v>192</v>
      </c>
      <c r="T14" s="85">
        <v>60</v>
      </c>
      <c r="U14" s="11">
        <f>T14/35</f>
        <v>1.7142857142857142</v>
      </c>
      <c r="V14" s="108">
        <f t="shared" si="8"/>
        <v>117</v>
      </c>
    </row>
    <row r="15" spans="2:22">
      <c r="B15" s="159"/>
      <c r="C15" s="12" t="s">
        <v>66</v>
      </c>
      <c r="D15" s="57">
        <v>20</v>
      </c>
      <c r="E15" s="14">
        <f t="shared" ref="E15:E17" si="9">D15/100</f>
        <v>0.2</v>
      </c>
      <c r="F15" s="108">
        <f>D15*1950/1000</f>
        <v>39</v>
      </c>
      <c r="G15" s="12" t="s">
        <v>78</v>
      </c>
      <c r="H15" s="57">
        <v>45</v>
      </c>
      <c r="I15" s="14">
        <f t="shared" ref="I15:I18" si="10">H15/100</f>
        <v>0.45</v>
      </c>
      <c r="J15" s="108">
        <f>H15*1950/1000</f>
        <v>87.75</v>
      </c>
      <c r="K15" s="12"/>
      <c r="L15" s="54"/>
      <c r="M15" s="19"/>
      <c r="N15" s="108">
        <f>L15*1950/1000</f>
        <v>0</v>
      </c>
      <c r="O15" s="12" t="s">
        <v>188</v>
      </c>
      <c r="P15" s="57">
        <v>40</v>
      </c>
      <c r="Q15" s="14">
        <f t="shared" ref="Q15:Q16" si="11">P15/100</f>
        <v>0.4</v>
      </c>
      <c r="R15" s="108">
        <f>P15*1950/1000</f>
        <v>78</v>
      </c>
      <c r="S15" s="12" t="s">
        <v>193</v>
      </c>
      <c r="T15" s="57">
        <v>15</v>
      </c>
      <c r="U15" s="19">
        <f>T15/40</f>
        <v>0.375</v>
      </c>
      <c r="V15" s="108">
        <f>T15*1950/1000</f>
        <v>29.25</v>
      </c>
    </row>
    <row r="16" spans="2:22">
      <c r="B16" s="159"/>
      <c r="C16" s="12" t="s">
        <v>152</v>
      </c>
      <c r="D16" s="57">
        <v>3</v>
      </c>
      <c r="E16" s="14">
        <f t="shared" si="9"/>
        <v>0.03</v>
      </c>
      <c r="F16" s="108">
        <f>D16*1950/1000</f>
        <v>5.85</v>
      </c>
      <c r="G16" s="12" t="s">
        <v>127</v>
      </c>
      <c r="H16" s="57">
        <v>1</v>
      </c>
      <c r="I16" s="14">
        <f t="shared" si="10"/>
        <v>0.01</v>
      </c>
      <c r="J16" s="108">
        <f>H16*1950/1000</f>
        <v>1.95</v>
      </c>
      <c r="K16" s="12"/>
      <c r="L16" s="54"/>
      <c r="M16" s="19"/>
      <c r="N16" s="108">
        <f>L16*1950/1000</f>
        <v>0</v>
      </c>
      <c r="O16" s="12" t="s">
        <v>79</v>
      </c>
      <c r="P16" s="57">
        <v>3</v>
      </c>
      <c r="Q16" s="14">
        <f t="shared" si="11"/>
        <v>0.03</v>
      </c>
      <c r="R16" s="108">
        <f>P16*1950/1000</f>
        <v>5.85</v>
      </c>
      <c r="S16" s="12" t="s">
        <v>326</v>
      </c>
      <c r="T16" s="57">
        <v>35</v>
      </c>
      <c r="U16" s="14">
        <f t="shared" ref="U16" si="12">T16/100</f>
        <v>0.35</v>
      </c>
      <c r="V16" s="108">
        <f>T16*1950/1000</f>
        <v>68.25</v>
      </c>
    </row>
    <row r="17" spans="2:22">
      <c r="B17" s="159"/>
      <c r="C17" s="12" t="s">
        <v>172</v>
      </c>
      <c r="D17" s="57">
        <v>5</v>
      </c>
      <c r="E17" s="14">
        <f t="shared" si="9"/>
        <v>0.05</v>
      </c>
      <c r="F17" s="108">
        <f>D17*1950/1000</f>
        <v>9.75</v>
      </c>
      <c r="G17" s="55" t="s">
        <v>79</v>
      </c>
      <c r="H17" s="57">
        <v>3</v>
      </c>
      <c r="I17" s="14">
        <f t="shared" si="10"/>
        <v>0.03</v>
      </c>
      <c r="J17" s="108">
        <f>H17*1950/1000</f>
        <v>5.85</v>
      </c>
      <c r="K17" s="12"/>
      <c r="L17" s="54"/>
      <c r="M17" s="19"/>
      <c r="N17" s="108">
        <f>L17*1950/1000</f>
        <v>0</v>
      </c>
      <c r="O17" s="12" t="s">
        <v>189</v>
      </c>
      <c r="P17" s="57">
        <v>15</v>
      </c>
      <c r="Q17" s="19">
        <f>P17/80</f>
        <v>0.1875</v>
      </c>
      <c r="R17" s="108">
        <f>P17*1950/1000</f>
        <v>29.25</v>
      </c>
      <c r="S17" s="12" t="s">
        <v>301</v>
      </c>
      <c r="T17" s="57">
        <v>5</v>
      </c>
      <c r="U17" s="19"/>
      <c r="V17" s="108">
        <f>T17*1950/1000</f>
        <v>9.75</v>
      </c>
    </row>
    <row r="18" spans="2:22" ht="19.5" customHeight="1">
      <c r="B18" s="159"/>
      <c r="C18" s="55"/>
      <c r="D18" s="60"/>
      <c r="E18" s="56"/>
      <c r="F18" s="108">
        <f>D18*1950/1000</f>
        <v>0</v>
      </c>
      <c r="G18" s="55" t="s">
        <v>154</v>
      </c>
      <c r="H18" s="60">
        <v>1.5</v>
      </c>
      <c r="I18" s="14">
        <f t="shared" si="10"/>
        <v>1.4999999999999999E-2</v>
      </c>
      <c r="J18" s="108">
        <f>H18*1950/1000</f>
        <v>2.9249999999999998</v>
      </c>
      <c r="K18" s="55"/>
      <c r="L18" s="54"/>
      <c r="M18" s="56"/>
      <c r="N18" s="108">
        <f>L18*1950/1000</f>
        <v>0</v>
      </c>
      <c r="O18" s="55" t="s">
        <v>151</v>
      </c>
      <c r="P18" s="57">
        <v>3</v>
      </c>
      <c r="Q18" s="14">
        <f t="shared" ref="Q18" si="13">P18/100</f>
        <v>0.03</v>
      </c>
      <c r="R18" s="108">
        <f>P18*1950/1000</f>
        <v>5.85</v>
      </c>
      <c r="S18" s="55"/>
      <c r="T18" s="57"/>
      <c r="U18" s="56"/>
      <c r="V18" s="108">
        <f>T18*1950/1000</f>
        <v>0</v>
      </c>
    </row>
    <row r="19" spans="2:22">
      <c r="B19" s="159"/>
      <c r="C19" s="55"/>
      <c r="D19" s="60"/>
      <c r="E19" s="59"/>
      <c r="F19" s="108">
        <f t="shared" si="7"/>
        <v>0</v>
      </c>
      <c r="G19" s="55"/>
      <c r="H19" s="60"/>
      <c r="I19" s="59"/>
      <c r="J19" s="108">
        <f t="shared" si="4"/>
        <v>0</v>
      </c>
      <c r="K19" s="55"/>
      <c r="L19" s="58"/>
      <c r="M19" s="59"/>
      <c r="N19" s="108">
        <f t="shared" si="5"/>
        <v>0</v>
      </c>
      <c r="O19" s="55"/>
      <c r="P19" s="60"/>
      <c r="Q19" s="59"/>
      <c r="R19" s="108">
        <f t="shared" si="6"/>
        <v>0</v>
      </c>
      <c r="S19" s="55"/>
      <c r="T19" s="60"/>
      <c r="U19" s="59"/>
      <c r="V19" s="108">
        <f t="shared" si="8"/>
        <v>0</v>
      </c>
    </row>
    <row r="20" spans="2:22">
      <c r="B20" s="159"/>
      <c r="C20" s="55"/>
      <c r="D20" s="60"/>
      <c r="E20" s="59"/>
      <c r="F20" s="108">
        <f t="shared" si="7"/>
        <v>0</v>
      </c>
      <c r="G20" s="55"/>
      <c r="H20" s="60"/>
      <c r="I20" s="59"/>
      <c r="J20" s="108">
        <f t="shared" si="4"/>
        <v>0</v>
      </c>
      <c r="K20" s="55"/>
      <c r="L20" s="58"/>
      <c r="M20" s="59"/>
      <c r="N20" s="108">
        <f t="shared" si="5"/>
        <v>0</v>
      </c>
      <c r="O20" s="55"/>
      <c r="P20" s="60"/>
      <c r="Q20" s="59"/>
      <c r="R20" s="108">
        <f t="shared" si="6"/>
        <v>0</v>
      </c>
      <c r="S20" s="55"/>
      <c r="T20" s="60"/>
      <c r="U20" s="59"/>
      <c r="V20" s="108">
        <f t="shared" si="8"/>
        <v>0</v>
      </c>
    </row>
    <row r="21" spans="2:22">
      <c r="B21" s="159"/>
      <c r="C21" s="61"/>
      <c r="D21" s="57"/>
      <c r="E21" s="56">
        <f>D14+D15+D16+D17+D18+D19+D20</f>
        <v>128</v>
      </c>
      <c r="F21" s="108">
        <f t="shared" si="7"/>
        <v>0</v>
      </c>
      <c r="G21" s="61"/>
      <c r="H21" s="57"/>
      <c r="I21" s="56">
        <f>H14+H15+H16+H17+H18+H19+H20</f>
        <v>110.5</v>
      </c>
      <c r="J21" s="108">
        <f t="shared" si="4"/>
        <v>0</v>
      </c>
      <c r="K21" s="61"/>
      <c r="L21" s="54"/>
      <c r="M21" s="56">
        <f>L14+L15+L16+L17+L18+L19+L20</f>
        <v>60</v>
      </c>
      <c r="N21" s="108">
        <f t="shared" si="5"/>
        <v>0</v>
      </c>
      <c r="O21" s="61"/>
      <c r="P21" s="57"/>
      <c r="Q21" s="56">
        <f>P14+P15+P16+P17+P18+P19+P20</f>
        <v>161</v>
      </c>
      <c r="R21" s="108">
        <f t="shared" si="6"/>
        <v>0</v>
      </c>
      <c r="S21" s="61"/>
      <c r="T21" s="57"/>
      <c r="U21" s="56">
        <f>T14+T15+T16+T17+T18+T19+T20</f>
        <v>115</v>
      </c>
      <c r="V21" s="108">
        <f t="shared" si="8"/>
        <v>0</v>
      </c>
    </row>
    <row r="22" spans="2:22">
      <c r="B22" s="159" t="s">
        <v>17</v>
      </c>
      <c r="C22" s="157" t="s">
        <v>305</v>
      </c>
      <c r="D22" s="160"/>
      <c r="E22" s="88"/>
      <c r="F22" s="108">
        <f t="shared" si="7"/>
        <v>0</v>
      </c>
      <c r="G22" s="157" t="s">
        <v>128</v>
      </c>
      <c r="H22" s="160"/>
      <c r="I22" s="102"/>
      <c r="J22" s="108">
        <f t="shared" si="4"/>
        <v>0</v>
      </c>
      <c r="K22" s="157" t="s">
        <v>167</v>
      </c>
      <c r="L22" s="160"/>
      <c r="M22" s="102"/>
      <c r="N22" s="108">
        <f t="shared" si="5"/>
        <v>0</v>
      </c>
      <c r="O22" s="157" t="s">
        <v>363</v>
      </c>
      <c r="P22" s="160"/>
      <c r="Q22" s="88"/>
      <c r="R22" s="108">
        <f t="shared" si="6"/>
        <v>0</v>
      </c>
      <c r="S22" s="157" t="s">
        <v>194</v>
      </c>
      <c r="T22" s="160"/>
      <c r="U22" s="88"/>
      <c r="V22" s="108">
        <f t="shared" si="8"/>
        <v>0</v>
      </c>
    </row>
    <row r="23" spans="2:22">
      <c r="B23" s="159"/>
      <c r="C23" s="10" t="s">
        <v>123</v>
      </c>
      <c r="D23" s="62">
        <v>70</v>
      </c>
      <c r="E23" s="14">
        <f>D23/100*0.6</f>
        <v>0.42</v>
      </c>
      <c r="F23" s="108">
        <f t="shared" si="7"/>
        <v>136.5</v>
      </c>
      <c r="G23" s="10" t="s">
        <v>109</v>
      </c>
      <c r="H23" s="62">
        <v>60</v>
      </c>
      <c r="I23" s="19">
        <f>H23/120</f>
        <v>0.5</v>
      </c>
      <c r="J23" s="108">
        <f>H23*1950/1000/0.6/9</f>
        <v>21.666666666666668</v>
      </c>
      <c r="K23" s="10" t="s">
        <v>110</v>
      </c>
      <c r="L23" s="62">
        <v>20</v>
      </c>
      <c r="M23" s="14">
        <f t="shared" ref="M23:M25" si="14">L23/100</f>
        <v>0.2</v>
      </c>
      <c r="N23" s="108">
        <f t="shared" si="5"/>
        <v>39</v>
      </c>
      <c r="O23" s="10" t="s">
        <v>364</v>
      </c>
      <c r="P23" s="52">
        <v>20</v>
      </c>
      <c r="Q23" s="18">
        <f>P23/55</f>
        <v>0.36363636363636365</v>
      </c>
      <c r="R23" s="108">
        <f>P23*1950/1000</f>
        <v>39</v>
      </c>
      <c r="S23" s="10" t="s">
        <v>195</v>
      </c>
      <c r="T23" s="62">
        <v>50</v>
      </c>
      <c r="U23" s="14">
        <f t="shared" ref="U23:U24" si="15">T23/100</f>
        <v>0.5</v>
      </c>
      <c r="V23" s="108">
        <f t="shared" si="8"/>
        <v>97.5</v>
      </c>
    </row>
    <row r="24" spans="2:22">
      <c r="B24" s="159"/>
      <c r="C24" s="12" t="s">
        <v>311</v>
      </c>
      <c r="D24" s="57">
        <v>10</v>
      </c>
      <c r="E24" s="40">
        <f>D24/35</f>
        <v>0.2857142857142857</v>
      </c>
      <c r="F24" s="108">
        <f t="shared" si="7"/>
        <v>19.5</v>
      </c>
      <c r="G24" s="12" t="s">
        <v>66</v>
      </c>
      <c r="H24" s="57">
        <v>30</v>
      </c>
      <c r="I24" s="14">
        <f t="shared" ref="I24" si="16">H24/100</f>
        <v>0.3</v>
      </c>
      <c r="J24" s="108">
        <f t="shared" si="4"/>
        <v>58.5</v>
      </c>
      <c r="K24" s="55" t="s">
        <v>177</v>
      </c>
      <c r="L24" s="57">
        <v>25</v>
      </c>
      <c r="M24" s="65">
        <f>L24/35</f>
        <v>0.7142857142857143</v>
      </c>
      <c r="N24" s="108">
        <f t="shared" si="5"/>
        <v>48.75</v>
      </c>
      <c r="O24" s="12" t="s">
        <v>149</v>
      </c>
      <c r="P24" s="57">
        <v>30</v>
      </c>
      <c r="Q24" s="40">
        <f>P24/60</f>
        <v>0.5</v>
      </c>
      <c r="R24" s="108">
        <f t="shared" si="6"/>
        <v>58.5</v>
      </c>
      <c r="S24" s="12" t="s">
        <v>67</v>
      </c>
      <c r="T24" s="57">
        <v>0.5</v>
      </c>
      <c r="U24" s="14">
        <f t="shared" si="15"/>
        <v>5.0000000000000001E-3</v>
      </c>
      <c r="V24" s="108">
        <f t="shared" si="8"/>
        <v>0.97499999999999998</v>
      </c>
    </row>
    <row r="25" spans="2:22">
      <c r="B25" s="159"/>
      <c r="C25" s="12" t="s">
        <v>175</v>
      </c>
      <c r="D25" s="57">
        <v>20</v>
      </c>
      <c r="E25" s="19">
        <f>D25/20</f>
        <v>1</v>
      </c>
      <c r="F25" s="108">
        <f t="shared" si="7"/>
        <v>39</v>
      </c>
      <c r="G25" s="12" t="s">
        <v>103</v>
      </c>
      <c r="H25" s="57">
        <v>10</v>
      </c>
      <c r="I25" s="19">
        <f>H25/35</f>
        <v>0.2857142857142857</v>
      </c>
      <c r="J25" s="108">
        <f t="shared" si="4"/>
        <v>19.5</v>
      </c>
      <c r="K25" s="12" t="s">
        <v>79</v>
      </c>
      <c r="L25" s="54">
        <v>3</v>
      </c>
      <c r="M25" s="14">
        <f t="shared" si="14"/>
        <v>0.03</v>
      </c>
      <c r="N25" s="108">
        <f t="shared" si="5"/>
        <v>5.85</v>
      </c>
      <c r="O25" s="12" t="s">
        <v>322</v>
      </c>
      <c r="P25" s="57">
        <v>5</v>
      </c>
      <c r="Q25" s="14">
        <f t="shared" ref="Q25" si="17">P25/100</f>
        <v>0.05</v>
      </c>
      <c r="R25" s="108">
        <f t="shared" si="6"/>
        <v>9.75</v>
      </c>
      <c r="S25" s="12" t="s">
        <v>89</v>
      </c>
      <c r="T25" s="57">
        <v>8</v>
      </c>
      <c r="U25" s="11">
        <f>T25/35</f>
        <v>0.22857142857142856</v>
      </c>
      <c r="V25" s="108">
        <f t="shared" si="8"/>
        <v>15.6</v>
      </c>
    </row>
    <row r="26" spans="2:22">
      <c r="B26" s="159"/>
      <c r="C26" s="12" t="s">
        <v>287</v>
      </c>
      <c r="D26" s="57">
        <v>2</v>
      </c>
      <c r="E26" s="40"/>
      <c r="F26" s="108">
        <f t="shared" si="7"/>
        <v>3.9</v>
      </c>
      <c r="G26" s="12"/>
      <c r="H26" s="57"/>
      <c r="I26" s="19"/>
      <c r="J26" s="108">
        <f t="shared" si="4"/>
        <v>0</v>
      </c>
      <c r="K26" s="12"/>
      <c r="L26" s="54"/>
      <c r="M26" s="19"/>
      <c r="N26" s="108">
        <f t="shared" si="5"/>
        <v>0</v>
      </c>
      <c r="O26" s="12" t="s">
        <v>365</v>
      </c>
      <c r="P26" s="57">
        <v>30</v>
      </c>
      <c r="Q26" s="40"/>
      <c r="R26" s="108">
        <f t="shared" si="6"/>
        <v>58.5</v>
      </c>
      <c r="S26" s="12"/>
      <c r="T26" s="57"/>
      <c r="U26" s="40"/>
      <c r="V26" s="108">
        <f t="shared" si="8"/>
        <v>0</v>
      </c>
    </row>
    <row r="27" spans="2:22" ht="20.25" customHeight="1">
      <c r="B27" s="159"/>
      <c r="C27" s="55" t="s">
        <v>312</v>
      </c>
      <c r="D27" s="57">
        <v>5</v>
      </c>
      <c r="E27" s="56"/>
      <c r="F27" s="108">
        <f t="shared" si="7"/>
        <v>9.75</v>
      </c>
      <c r="G27" s="55"/>
      <c r="H27" s="57"/>
      <c r="I27" s="58"/>
      <c r="J27" s="108">
        <f t="shared" si="4"/>
        <v>0</v>
      </c>
      <c r="K27" s="55"/>
      <c r="L27" s="57"/>
      <c r="M27" s="58"/>
      <c r="N27" s="108">
        <f t="shared" si="5"/>
        <v>0</v>
      </c>
      <c r="O27" s="55"/>
      <c r="P27" s="57"/>
      <c r="Q27" s="56"/>
      <c r="R27" s="108">
        <f t="shared" si="6"/>
        <v>0</v>
      </c>
      <c r="S27" s="55"/>
      <c r="T27" s="57"/>
      <c r="U27" s="56"/>
      <c r="V27" s="108">
        <f t="shared" si="8"/>
        <v>0</v>
      </c>
    </row>
    <row r="28" spans="2:22">
      <c r="B28" s="159"/>
      <c r="C28" s="55"/>
      <c r="D28" s="60"/>
      <c r="E28" s="59"/>
      <c r="F28" s="108">
        <f t="shared" si="7"/>
        <v>0</v>
      </c>
      <c r="G28" s="55"/>
      <c r="H28" s="60"/>
      <c r="I28" s="60"/>
      <c r="J28" s="108">
        <f t="shared" si="4"/>
        <v>0</v>
      </c>
      <c r="K28" s="55"/>
      <c r="L28" s="60"/>
      <c r="M28" s="60"/>
      <c r="N28" s="108">
        <f t="shared" si="5"/>
        <v>0</v>
      </c>
      <c r="O28" s="55"/>
      <c r="P28" s="60"/>
      <c r="Q28" s="59"/>
      <c r="R28" s="108">
        <f t="shared" si="6"/>
        <v>0</v>
      </c>
      <c r="S28" s="55"/>
      <c r="T28" s="60"/>
      <c r="U28" s="59"/>
      <c r="V28" s="108">
        <f t="shared" si="8"/>
        <v>0</v>
      </c>
    </row>
    <row r="29" spans="2:22">
      <c r="B29" s="159"/>
      <c r="C29" s="61"/>
      <c r="D29" s="57"/>
      <c r="E29" s="56"/>
      <c r="F29" s="108">
        <f t="shared" si="7"/>
        <v>0</v>
      </c>
      <c r="G29" s="61"/>
      <c r="H29" s="57"/>
      <c r="I29" s="57"/>
      <c r="J29" s="108">
        <f t="shared" si="4"/>
        <v>0</v>
      </c>
      <c r="K29" s="61"/>
      <c r="L29" s="57"/>
      <c r="M29" s="57"/>
      <c r="N29" s="108">
        <f t="shared" si="5"/>
        <v>0</v>
      </c>
      <c r="O29" s="61"/>
      <c r="P29" s="57"/>
      <c r="Q29" s="56"/>
      <c r="R29" s="108">
        <f t="shared" si="6"/>
        <v>0</v>
      </c>
      <c r="S29" s="61"/>
      <c r="T29" s="57"/>
      <c r="U29" s="56"/>
      <c r="V29" s="108">
        <f t="shared" si="8"/>
        <v>0</v>
      </c>
    </row>
    <row r="30" spans="2:22">
      <c r="B30" s="159"/>
      <c r="C30" s="61"/>
      <c r="D30" s="57"/>
      <c r="E30" s="56"/>
      <c r="F30" s="108">
        <f t="shared" si="7"/>
        <v>0</v>
      </c>
      <c r="G30" s="61"/>
      <c r="H30" s="57"/>
      <c r="I30" s="57"/>
      <c r="J30" s="108">
        <f t="shared" si="4"/>
        <v>0</v>
      </c>
      <c r="K30" s="82"/>
      <c r="L30" s="84"/>
      <c r="M30" s="57"/>
      <c r="N30" s="108">
        <f t="shared" si="5"/>
        <v>0</v>
      </c>
      <c r="O30" s="61"/>
      <c r="P30" s="57"/>
      <c r="Q30" s="56"/>
      <c r="R30" s="108">
        <f t="shared" si="6"/>
        <v>0</v>
      </c>
      <c r="S30" s="61"/>
      <c r="T30" s="57"/>
      <c r="U30" s="56">
        <f>T23+T24+T25+T26+T27+T28+T29</f>
        <v>58.5</v>
      </c>
      <c r="V30" s="108">
        <f t="shared" si="8"/>
        <v>0</v>
      </c>
    </row>
    <row r="31" spans="2:22" ht="24" customHeight="1">
      <c r="B31" s="159" t="s">
        <v>18</v>
      </c>
      <c r="C31" s="157" t="s">
        <v>46</v>
      </c>
      <c r="D31" s="158"/>
      <c r="E31" s="86"/>
      <c r="F31" s="108">
        <f t="shared" si="7"/>
        <v>0</v>
      </c>
      <c r="G31" s="157" t="s">
        <v>46</v>
      </c>
      <c r="H31" s="158"/>
      <c r="I31" s="86"/>
      <c r="J31" s="108">
        <f t="shared" si="4"/>
        <v>0</v>
      </c>
      <c r="K31" s="157" t="s">
        <v>46</v>
      </c>
      <c r="L31" s="158"/>
      <c r="M31" s="86"/>
      <c r="N31" s="108">
        <f t="shared" si="5"/>
        <v>0</v>
      </c>
      <c r="O31" s="157" t="s">
        <v>46</v>
      </c>
      <c r="P31" s="158"/>
      <c r="Q31" s="86"/>
      <c r="R31" s="108">
        <f t="shared" si="6"/>
        <v>0</v>
      </c>
      <c r="S31" s="157" t="s">
        <v>46</v>
      </c>
      <c r="T31" s="160"/>
      <c r="U31" s="86"/>
      <c r="V31" s="108">
        <f t="shared" si="8"/>
        <v>0</v>
      </c>
    </row>
    <row r="32" spans="2:22">
      <c r="B32" s="159"/>
      <c r="C32" s="16" t="s">
        <v>47</v>
      </c>
      <c r="D32" s="6">
        <v>60</v>
      </c>
      <c r="E32" s="63">
        <f t="shared" ref="E32:E34" si="18">D32/100</f>
        <v>0.6</v>
      </c>
      <c r="F32" s="108">
        <f t="shared" si="7"/>
        <v>117</v>
      </c>
      <c r="G32" s="16" t="s">
        <v>47</v>
      </c>
      <c r="H32" s="6">
        <v>60</v>
      </c>
      <c r="I32" s="63">
        <f t="shared" ref="I32:I34" si="19">H32/100</f>
        <v>0.6</v>
      </c>
      <c r="J32" s="108">
        <f t="shared" si="4"/>
        <v>117</v>
      </c>
      <c r="K32" s="16" t="s">
        <v>47</v>
      </c>
      <c r="L32" s="6">
        <v>60</v>
      </c>
      <c r="M32" s="63">
        <f t="shared" ref="M32:M34" si="20">L32/100</f>
        <v>0.6</v>
      </c>
      <c r="N32" s="108">
        <f t="shared" si="5"/>
        <v>117</v>
      </c>
      <c r="O32" s="16" t="s">
        <v>47</v>
      </c>
      <c r="P32" s="6">
        <v>60</v>
      </c>
      <c r="Q32" s="63">
        <f t="shared" ref="Q32:Q34" si="21">P32/100</f>
        <v>0.6</v>
      </c>
      <c r="R32" s="108">
        <f t="shared" si="6"/>
        <v>117</v>
      </c>
      <c r="S32" s="16" t="s">
        <v>47</v>
      </c>
      <c r="T32" s="8">
        <v>60</v>
      </c>
      <c r="U32" s="63">
        <f t="shared" ref="U32:U34" si="22">T32/100</f>
        <v>0.6</v>
      </c>
      <c r="V32" s="108">
        <f t="shared" si="8"/>
        <v>117</v>
      </c>
    </row>
    <row r="33" spans="2:22">
      <c r="B33" s="159"/>
      <c r="C33" s="17" t="s">
        <v>138</v>
      </c>
      <c r="D33" s="7">
        <v>0.5</v>
      </c>
      <c r="E33" s="14">
        <f t="shared" si="18"/>
        <v>5.0000000000000001E-3</v>
      </c>
      <c r="F33" s="108">
        <f t="shared" si="7"/>
        <v>0.97499999999999998</v>
      </c>
      <c r="G33" s="17" t="s">
        <v>138</v>
      </c>
      <c r="H33" s="7">
        <v>0.5</v>
      </c>
      <c r="I33" s="14">
        <f t="shared" si="19"/>
        <v>5.0000000000000001E-3</v>
      </c>
      <c r="J33" s="108">
        <f t="shared" si="4"/>
        <v>0.97499999999999998</v>
      </c>
      <c r="K33" s="17" t="s">
        <v>138</v>
      </c>
      <c r="L33" s="7">
        <v>0.5</v>
      </c>
      <c r="M33" s="14">
        <f t="shared" si="20"/>
        <v>5.0000000000000001E-3</v>
      </c>
      <c r="N33" s="108">
        <f t="shared" si="5"/>
        <v>0.97499999999999998</v>
      </c>
      <c r="O33" s="17" t="s">
        <v>138</v>
      </c>
      <c r="P33" s="7">
        <v>0.5</v>
      </c>
      <c r="Q33" s="14">
        <f t="shared" si="21"/>
        <v>5.0000000000000001E-3</v>
      </c>
      <c r="R33" s="108">
        <f t="shared" si="6"/>
        <v>0.97499999999999998</v>
      </c>
      <c r="S33" s="17" t="s">
        <v>138</v>
      </c>
      <c r="T33" s="9">
        <v>0.5</v>
      </c>
      <c r="U33" s="14">
        <f t="shared" si="22"/>
        <v>5.0000000000000001E-3</v>
      </c>
      <c r="V33" s="108">
        <f t="shared" si="8"/>
        <v>0.97499999999999998</v>
      </c>
    </row>
    <row r="34" spans="2:22">
      <c r="B34" s="159"/>
      <c r="C34" s="17" t="s">
        <v>137</v>
      </c>
      <c r="D34" s="7">
        <v>0.5</v>
      </c>
      <c r="E34" s="14">
        <f t="shared" si="18"/>
        <v>5.0000000000000001E-3</v>
      </c>
      <c r="F34" s="108">
        <f t="shared" si="7"/>
        <v>0.97499999999999998</v>
      </c>
      <c r="G34" s="17" t="s">
        <v>137</v>
      </c>
      <c r="H34" s="7">
        <v>0.5</v>
      </c>
      <c r="I34" s="14">
        <f t="shared" si="19"/>
        <v>5.0000000000000001E-3</v>
      </c>
      <c r="J34" s="108">
        <f t="shared" si="4"/>
        <v>0.97499999999999998</v>
      </c>
      <c r="K34" s="17" t="s">
        <v>137</v>
      </c>
      <c r="L34" s="7">
        <v>0.5</v>
      </c>
      <c r="M34" s="14">
        <f t="shared" si="20"/>
        <v>5.0000000000000001E-3</v>
      </c>
      <c r="N34" s="108">
        <f t="shared" si="5"/>
        <v>0.97499999999999998</v>
      </c>
      <c r="O34" s="17" t="s">
        <v>137</v>
      </c>
      <c r="P34" s="7">
        <v>0.5</v>
      </c>
      <c r="Q34" s="14">
        <f t="shared" si="21"/>
        <v>5.0000000000000001E-3</v>
      </c>
      <c r="R34" s="108">
        <f t="shared" si="6"/>
        <v>0.97499999999999998</v>
      </c>
      <c r="S34" s="17" t="s">
        <v>137</v>
      </c>
      <c r="T34" s="9">
        <v>0.5</v>
      </c>
      <c r="U34" s="14">
        <f t="shared" si="22"/>
        <v>5.0000000000000001E-3</v>
      </c>
      <c r="V34" s="108">
        <f t="shared" si="8"/>
        <v>0.97499999999999998</v>
      </c>
    </row>
    <row r="35" spans="2:22">
      <c r="B35" s="159"/>
      <c r="C35" s="17"/>
      <c r="D35" s="9"/>
      <c r="E35" s="15"/>
      <c r="F35" s="108">
        <f t="shared" si="7"/>
        <v>0</v>
      </c>
      <c r="G35" s="17"/>
      <c r="H35" s="9"/>
      <c r="I35" s="15"/>
      <c r="J35" s="108">
        <f t="shared" si="4"/>
        <v>0</v>
      </c>
      <c r="K35" s="17"/>
      <c r="L35" s="7"/>
      <c r="M35" s="15"/>
      <c r="N35" s="108">
        <f t="shared" si="5"/>
        <v>0</v>
      </c>
      <c r="O35" s="17"/>
      <c r="P35" s="9"/>
      <c r="Q35" s="15"/>
      <c r="R35" s="108">
        <f t="shared" si="6"/>
        <v>0</v>
      </c>
      <c r="S35" s="17"/>
      <c r="T35" s="9"/>
      <c r="U35" s="15"/>
      <c r="V35" s="108">
        <f t="shared" si="8"/>
        <v>0</v>
      </c>
    </row>
    <row r="36" spans="2:22" ht="24" customHeight="1">
      <c r="B36" s="159"/>
      <c r="C36" s="17"/>
      <c r="D36" s="9"/>
      <c r="E36" s="64"/>
      <c r="F36" s="108">
        <f t="shared" si="7"/>
        <v>0</v>
      </c>
      <c r="G36" s="17"/>
      <c r="H36" s="9"/>
      <c r="I36" s="64"/>
      <c r="J36" s="108">
        <f t="shared" si="4"/>
        <v>0</v>
      </c>
      <c r="K36" s="17"/>
      <c r="L36" s="7"/>
      <c r="M36" s="64"/>
      <c r="N36" s="108">
        <f>L36*1950/1000</f>
        <v>0</v>
      </c>
      <c r="O36" s="17"/>
      <c r="P36" s="9"/>
      <c r="Q36" s="64"/>
      <c r="R36" s="108">
        <f t="shared" si="6"/>
        <v>0</v>
      </c>
      <c r="S36" s="17"/>
      <c r="T36" s="9"/>
      <c r="U36" s="64"/>
      <c r="V36" s="108">
        <f t="shared" si="8"/>
        <v>0</v>
      </c>
    </row>
    <row r="37" spans="2:22">
      <c r="B37" s="159" t="s">
        <v>2</v>
      </c>
      <c r="C37" s="157" t="s">
        <v>307</v>
      </c>
      <c r="D37" s="160"/>
      <c r="E37" s="102"/>
      <c r="F37" s="108">
        <f t="shared" si="7"/>
        <v>0</v>
      </c>
      <c r="G37" s="157" t="s">
        <v>385</v>
      </c>
      <c r="H37" s="160"/>
      <c r="I37" s="102"/>
      <c r="J37" s="108">
        <f>D37*1950/1000</f>
        <v>0</v>
      </c>
      <c r="K37" s="157" t="s">
        <v>227</v>
      </c>
      <c r="L37" s="160"/>
      <c r="M37" s="131"/>
      <c r="N37" s="108">
        <f t="shared" ref="N37:N44" si="23">L37*1950/1000</f>
        <v>0</v>
      </c>
      <c r="O37" s="157" t="s">
        <v>319</v>
      </c>
      <c r="P37" s="160"/>
      <c r="Q37" s="102"/>
      <c r="R37" s="108">
        <f t="shared" si="6"/>
        <v>0</v>
      </c>
      <c r="S37" s="157" t="s">
        <v>169</v>
      </c>
      <c r="T37" s="160"/>
      <c r="U37" s="102"/>
      <c r="V37" s="108">
        <f t="shared" si="8"/>
        <v>0</v>
      </c>
    </row>
    <row r="38" spans="2:22">
      <c r="B38" s="159"/>
      <c r="C38" s="10" t="s">
        <v>308</v>
      </c>
      <c r="D38" s="52">
        <v>20</v>
      </c>
      <c r="E38" s="14">
        <f t="shared" ref="E38:E42" si="24">D38/100</f>
        <v>0.2</v>
      </c>
      <c r="F38" s="108">
        <f t="shared" si="7"/>
        <v>39</v>
      </c>
      <c r="G38" s="10" t="s">
        <v>313</v>
      </c>
      <c r="H38" s="52">
        <v>20</v>
      </c>
      <c r="I38" s="18">
        <f>H38/55</f>
        <v>0.36363636363636365</v>
      </c>
      <c r="J38" s="108">
        <f>H38*1950/1000</f>
        <v>39</v>
      </c>
      <c r="K38" s="10" t="s">
        <v>228</v>
      </c>
      <c r="L38" s="52">
        <v>20</v>
      </c>
      <c r="M38" s="14">
        <f t="shared" ref="M38:M40" si="25">L38/100</f>
        <v>0.2</v>
      </c>
      <c r="N38" s="108">
        <f t="shared" si="23"/>
        <v>39</v>
      </c>
      <c r="O38" s="10" t="s">
        <v>320</v>
      </c>
      <c r="P38" s="52">
        <v>15</v>
      </c>
      <c r="Q38" s="14">
        <f t="shared" ref="Q38" si="26">P38/100</f>
        <v>0.15</v>
      </c>
      <c r="R38" s="108">
        <f t="shared" si="6"/>
        <v>29.25</v>
      </c>
      <c r="S38" s="10" t="s">
        <v>190</v>
      </c>
      <c r="T38" s="62">
        <v>20</v>
      </c>
      <c r="U38" s="18">
        <f>T38/20</f>
        <v>1</v>
      </c>
      <c r="V38" s="108">
        <f>T38*1950/1000/0.6</f>
        <v>65</v>
      </c>
    </row>
    <row r="39" spans="2:22">
      <c r="B39" s="159"/>
      <c r="C39" s="12" t="s">
        <v>309</v>
      </c>
      <c r="D39" s="54">
        <v>30</v>
      </c>
      <c r="E39" s="14">
        <f t="shared" si="24"/>
        <v>0.3</v>
      </c>
      <c r="F39" s="108">
        <f t="shared" si="7"/>
        <v>58.5</v>
      </c>
      <c r="G39" s="12" t="s">
        <v>79</v>
      </c>
      <c r="H39" s="54">
        <v>3</v>
      </c>
      <c r="I39" s="14" t="e">
        <f>#REF!/100</f>
        <v>#REF!</v>
      </c>
      <c r="J39" s="108" t="e">
        <f>#REF!*1950/1000</f>
        <v>#REF!</v>
      </c>
      <c r="K39" s="12" t="s">
        <v>56</v>
      </c>
      <c r="L39" s="54">
        <v>3</v>
      </c>
      <c r="M39" s="14">
        <f t="shared" si="25"/>
        <v>0.03</v>
      </c>
      <c r="N39" s="108">
        <f>L39*1950/1000/0.6</f>
        <v>9.75</v>
      </c>
      <c r="O39" s="12" t="s">
        <v>89</v>
      </c>
      <c r="P39" s="54">
        <v>10</v>
      </c>
      <c r="Q39" s="19">
        <f>P39/35</f>
        <v>0.2857142857142857</v>
      </c>
      <c r="R39" s="108">
        <f t="shared" si="6"/>
        <v>19.5</v>
      </c>
      <c r="S39" s="12" t="s">
        <v>191</v>
      </c>
      <c r="T39" s="57">
        <v>10</v>
      </c>
      <c r="U39" s="18">
        <f>T39/20</f>
        <v>0.5</v>
      </c>
      <c r="V39" s="108">
        <f t="shared" si="8"/>
        <v>19.5</v>
      </c>
    </row>
    <row r="40" spans="2:22">
      <c r="B40" s="159"/>
      <c r="C40" s="12" t="s">
        <v>310</v>
      </c>
      <c r="D40" s="54">
        <v>5</v>
      </c>
      <c r="E40" s="14">
        <f t="shared" si="24"/>
        <v>0.05</v>
      </c>
      <c r="F40" s="108">
        <f>D40*1950/1000/0.6</f>
        <v>16.25</v>
      </c>
      <c r="G40" s="12" t="s">
        <v>149</v>
      </c>
      <c r="H40" s="54">
        <v>10</v>
      </c>
      <c r="I40" s="14">
        <f>H39/100</f>
        <v>0.03</v>
      </c>
      <c r="J40" s="108">
        <f>H39*1950/1000/0.6</f>
        <v>9.75</v>
      </c>
      <c r="K40" s="12" t="s">
        <v>229</v>
      </c>
      <c r="L40" s="54">
        <v>3</v>
      </c>
      <c r="M40" s="14">
        <f t="shared" si="25"/>
        <v>0.03</v>
      </c>
      <c r="N40" s="108">
        <f t="shared" si="23"/>
        <v>5.85</v>
      </c>
      <c r="O40" s="12" t="s">
        <v>321</v>
      </c>
      <c r="P40" s="54">
        <v>5</v>
      </c>
      <c r="Q40" s="18">
        <f>P40/20</f>
        <v>0.25</v>
      </c>
      <c r="R40" s="108">
        <f>P40*1950/1000/0.6</f>
        <v>16.25</v>
      </c>
      <c r="S40" s="12"/>
      <c r="T40" s="57"/>
      <c r="U40" s="19"/>
      <c r="V40" s="108">
        <f>T40*1950/1000/0.6</f>
        <v>0</v>
      </c>
    </row>
    <row r="41" spans="2:22">
      <c r="B41" s="159"/>
      <c r="C41" s="12"/>
      <c r="D41" s="54"/>
      <c r="E41" s="19">
        <f>D41/35</f>
        <v>0</v>
      </c>
      <c r="F41" s="108">
        <f>D41*1950/1000/0.6</f>
        <v>0</v>
      </c>
      <c r="G41" s="49"/>
      <c r="I41" s="19">
        <f>H40/60</f>
        <v>0.16666666666666666</v>
      </c>
      <c r="J41" s="108">
        <f>H40*1950/1000</f>
        <v>19.5</v>
      </c>
      <c r="K41" s="12" t="s">
        <v>230</v>
      </c>
      <c r="L41" s="54">
        <v>15</v>
      </c>
      <c r="M41" s="19">
        <f>L41/55</f>
        <v>0.27272727272727271</v>
      </c>
      <c r="N41" s="108">
        <f t="shared" si="23"/>
        <v>29.25</v>
      </c>
      <c r="O41" s="12"/>
      <c r="P41" s="54"/>
      <c r="Q41" s="19"/>
      <c r="R41" s="108">
        <f>P41*1950/1000</f>
        <v>0</v>
      </c>
      <c r="S41" s="12"/>
      <c r="T41" s="57"/>
      <c r="U41" s="19"/>
      <c r="V41" s="108">
        <f t="shared" si="8"/>
        <v>0</v>
      </c>
    </row>
    <row r="42" spans="2:22" ht="20.25" customHeight="1">
      <c r="B42" s="159"/>
      <c r="C42" s="12"/>
      <c r="D42" s="54"/>
      <c r="E42" s="14">
        <f t="shared" si="24"/>
        <v>0</v>
      </c>
      <c r="F42" s="108">
        <f t="shared" si="7"/>
        <v>0</v>
      </c>
      <c r="G42" s="12"/>
      <c r="H42" s="54"/>
      <c r="I42" s="19"/>
      <c r="J42" s="108">
        <f t="shared" si="4"/>
        <v>0</v>
      </c>
      <c r="K42" s="12" t="s">
        <v>314</v>
      </c>
      <c r="L42" s="54">
        <v>10</v>
      </c>
      <c r="M42" s="14">
        <f t="shared" ref="M42" si="27">L42/100</f>
        <v>0.1</v>
      </c>
      <c r="N42" s="108">
        <f t="shared" si="23"/>
        <v>19.5</v>
      </c>
      <c r="O42" s="12"/>
      <c r="P42" s="54"/>
      <c r="Q42" s="19"/>
      <c r="R42" s="108">
        <f>P42*1950/1000</f>
        <v>0</v>
      </c>
      <c r="S42" s="12"/>
      <c r="T42" s="57"/>
      <c r="U42" s="19"/>
      <c r="V42" s="108">
        <f t="shared" si="8"/>
        <v>0</v>
      </c>
    </row>
    <row r="43" spans="2:22">
      <c r="B43" s="159"/>
      <c r="C43" s="12"/>
      <c r="D43" s="54"/>
      <c r="E43" s="59"/>
      <c r="F43" s="108">
        <f t="shared" si="7"/>
        <v>0</v>
      </c>
      <c r="G43" s="12"/>
      <c r="H43" s="54"/>
      <c r="I43" s="59"/>
      <c r="J43" s="108">
        <f t="shared" si="4"/>
        <v>0</v>
      </c>
      <c r="K43" s="55"/>
      <c r="L43" s="54"/>
      <c r="M43" s="19">
        <f>L43/15</f>
        <v>0</v>
      </c>
      <c r="N43" s="108">
        <f t="shared" si="23"/>
        <v>0</v>
      </c>
      <c r="O43" s="55"/>
      <c r="P43" s="65"/>
      <c r="Q43" s="59"/>
      <c r="R43" s="108">
        <f>P43*1950/1000</f>
        <v>0</v>
      </c>
      <c r="S43" s="12"/>
      <c r="T43" s="57"/>
      <c r="U43" s="59"/>
      <c r="V43" s="108">
        <f t="shared" si="8"/>
        <v>0</v>
      </c>
    </row>
    <row r="44" spans="2:22">
      <c r="B44" s="159"/>
      <c r="C44" s="92"/>
      <c r="D44" s="94"/>
      <c r="E44" s="95">
        <f>D44+D38+D39+D40+D41+D42+D43</f>
        <v>55</v>
      </c>
      <c r="F44" s="123">
        <f t="shared" si="7"/>
        <v>0</v>
      </c>
      <c r="G44" s="92"/>
      <c r="H44" s="94"/>
      <c r="I44" s="95" t="e">
        <f>H44+H38+#REF!+H39+H40+H42+H43</f>
        <v>#REF!</v>
      </c>
      <c r="J44" s="123">
        <f t="shared" si="4"/>
        <v>0</v>
      </c>
      <c r="K44" s="17"/>
      <c r="L44" s="47"/>
      <c r="M44" s="56">
        <f>L44+L38+L39+L40+L41+L42+L43</f>
        <v>51</v>
      </c>
      <c r="N44" s="123">
        <f t="shared" si="23"/>
        <v>0</v>
      </c>
      <c r="O44" s="92"/>
      <c r="P44" s="94"/>
      <c r="Q44" s="95">
        <f>P44+P38+P39+P40+P41+P42+P43</f>
        <v>30</v>
      </c>
      <c r="R44" s="123">
        <f>P44*1950/1000</f>
        <v>0</v>
      </c>
      <c r="S44" s="92"/>
      <c r="T44" s="93"/>
      <c r="U44" s="56">
        <f>T44+T38+T39+T40+T41+T42+T43</f>
        <v>30</v>
      </c>
      <c r="V44" s="108">
        <f t="shared" si="8"/>
        <v>0</v>
      </c>
    </row>
    <row r="45" spans="2:22" ht="24" customHeight="1">
      <c r="B45" s="66" t="s">
        <v>20</v>
      </c>
      <c r="C45" s="161"/>
      <c r="D45" s="162"/>
      <c r="E45" s="67"/>
      <c r="F45" s="109"/>
      <c r="G45" s="161" t="s">
        <v>383</v>
      </c>
      <c r="H45" s="162"/>
      <c r="I45" s="67"/>
      <c r="J45" s="109"/>
      <c r="K45" s="161"/>
      <c r="L45" s="162"/>
      <c r="M45" s="67"/>
      <c r="N45" s="109"/>
      <c r="O45" s="161" t="s">
        <v>359</v>
      </c>
      <c r="P45" s="162"/>
      <c r="Q45" s="67"/>
      <c r="R45" s="109"/>
      <c r="S45" s="161"/>
      <c r="T45" s="162"/>
      <c r="U45" s="67"/>
      <c r="V45" s="109"/>
    </row>
    <row r="46" spans="2:22" ht="21.75" customHeight="1">
      <c r="B46" s="163"/>
      <c r="C46" s="68" t="s">
        <v>24</v>
      </c>
      <c r="D46" s="44">
        <f t="shared" ref="D46:D50" si="28">E46</f>
        <v>4.25</v>
      </c>
      <c r="E46" s="69">
        <f>E5</f>
        <v>4.25</v>
      </c>
      <c r="F46" s="110"/>
      <c r="G46" s="68" t="s">
        <v>24</v>
      </c>
      <c r="H46" s="44">
        <v>4.2</v>
      </c>
      <c r="I46" s="69">
        <f>I5+I38+I6</f>
        <v>4.8636363636363633</v>
      </c>
      <c r="J46" s="110"/>
      <c r="K46" s="68" t="s">
        <v>24</v>
      </c>
      <c r="L46" s="44">
        <f t="shared" ref="L46:L50" si="29">M46</f>
        <v>4.3692307692307697</v>
      </c>
      <c r="M46" s="69">
        <f>M5+M8</f>
        <v>4.3692307692307697</v>
      </c>
      <c r="N46" s="110"/>
      <c r="O46" s="68" t="s">
        <v>24</v>
      </c>
      <c r="P46" s="70">
        <v>4.0999999999999996</v>
      </c>
      <c r="Q46" s="69">
        <f>Q5+Q6+Q23+Q40</f>
        <v>4.6136363636363633</v>
      </c>
      <c r="R46" s="110"/>
      <c r="S46" s="68" t="s">
        <v>24</v>
      </c>
      <c r="T46" s="70">
        <f t="shared" ref="T46" si="30">U46</f>
        <v>4.25</v>
      </c>
      <c r="U46" s="69">
        <f>U5+U6</f>
        <v>4.25</v>
      </c>
      <c r="V46" s="110"/>
    </row>
    <row r="47" spans="2:22">
      <c r="B47" s="164"/>
      <c r="C47" s="71" t="s">
        <v>25</v>
      </c>
      <c r="D47" s="44">
        <f t="shared" si="28"/>
        <v>0</v>
      </c>
      <c r="E47" s="69">
        <v>0</v>
      </c>
      <c r="F47" s="110"/>
      <c r="G47" s="71" t="s">
        <v>25</v>
      </c>
      <c r="H47" s="44">
        <f t="shared" ref="H47" si="31">I47</f>
        <v>0</v>
      </c>
      <c r="I47" s="69"/>
      <c r="J47" s="110"/>
      <c r="K47" s="71" t="s">
        <v>25</v>
      </c>
      <c r="L47" s="44">
        <f t="shared" si="29"/>
        <v>0</v>
      </c>
      <c r="M47" s="69"/>
      <c r="N47" s="110"/>
      <c r="O47" s="71" t="s">
        <v>25</v>
      </c>
      <c r="P47" s="70">
        <f>Q47</f>
        <v>0</v>
      </c>
      <c r="Q47" s="69"/>
      <c r="R47" s="110"/>
      <c r="S47" s="71" t="s">
        <v>25</v>
      </c>
      <c r="T47" s="70">
        <f>U47</f>
        <v>0</v>
      </c>
      <c r="U47" s="69"/>
      <c r="V47" s="110"/>
    </row>
    <row r="48" spans="2:22">
      <c r="B48" s="164"/>
      <c r="C48" s="71" t="s">
        <v>4</v>
      </c>
      <c r="D48" s="44">
        <f t="shared" si="28"/>
        <v>3.0357142857142856</v>
      </c>
      <c r="E48" s="69">
        <f>E41+E25+E24+E14</f>
        <v>3.0357142857142856</v>
      </c>
      <c r="F48" s="110"/>
      <c r="G48" s="71" t="s">
        <v>4</v>
      </c>
      <c r="H48" s="44">
        <v>2.2999999999999998</v>
      </c>
      <c r="I48" s="69">
        <f>I23+I25+I41+I14</f>
        <v>2.6666666666666665</v>
      </c>
      <c r="J48" s="110"/>
      <c r="K48" s="71" t="s">
        <v>4</v>
      </c>
      <c r="L48" s="44">
        <f t="shared" si="29"/>
        <v>2.4261038961038959</v>
      </c>
      <c r="M48" s="69">
        <f>M39+M37+M24+M14+M6</f>
        <v>2.4261038961038959</v>
      </c>
      <c r="N48" s="110"/>
      <c r="O48" s="71" t="s">
        <v>4</v>
      </c>
      <c r="P48" s="70">
        <f>Q48</f>
        <v>2.1398809523809526</v>
      </c>
      <c r="Q48" s="69">
        <f>Q39+Q24+Q17+Q14</f>
        <v>2.1398809523809526</v>
      </c>
      <c r="R48" s="110"/>
      <c r="S48" s="71" t="s">
        <v>4</v>
      </c>
      <c r="T48" s="70">
        <f>U48</f>
        <v>2.3178571428571426</v>
      </c>
      <c r="U48" s="69">
        <f>U15+U25+U14</f>
        <v>2.3178571428571426</v>
      </c>
      <c r="V48" s="110"/>
    </row>
    <row r="49" spans="2:22">
      <c r="B49" s="164"/>
      <c r="C49" s="71" t="s">
        <v>5</v>
      </c>
      <c r="D49" s="44">
        <f t="shared" si="28"/>
        <v>1.86</v>
      </c>
      <c r="E49" s="69">
        <f>E42+E40+E39+E38+E34+E33+E32+E23+E15+E16+E17</f>
        <v>1.86</v>
      </c>
      <c r="F49" s="110"/>
      <c r="G49" s="71" t="s">
        <v>5</v>
      </c>
      <c r="H49" s="44">
        <v>1.8</v>
      </c>
      <c r="I49" s="69" t="e">
        <f>I40+I39+I34+I33+I32+I24+I18+I17+I16+I15</f>
        <v>#REF!</v>
      </c>
      <c r="J49" s="110"/>
      <c r="K49" s="71" t="s">
        <v>5</v>
      </c>
      <c r="L49" s="44">
        <f t="shared" si="29"/>
        <v>1.7427272727272729</v>
      </c>
      <c r="M49" s="69">
        <f>M41+M40+M38+M34+M33+M32+M23+M25+M26+M7+M9+M10</f>
        <v>1.7427272727272729</v>
      </c>
      <c r="N49" s="110"/>
      <c r="O49" s="71" t="s">
        <v>5</v>
      </c>
      <c r="P49" s="70">
        <f>Q49</f>
        <v>1.27</v>
      </c>
      <c r="Q49" s="69">
        <f>Q38+Q34+Q33+Q32+Q25+Q18+Q16+Q15</f>
        <v>1.27</v>
      </c>
      <c r="R49" s="110"/>
      <c r="S49" s="71" t="s">
        <v>5</v>
      </c>
      <c r="T49" s="70">
        <f>U49</f>
        <v>1.4649999999999999</v>
      </c>
      <c r="U49" s="69">
        <f>U34+U33+U32+U24+U23+U16</f>
        <v>1.4649999999999999</v>
      </c>
      <c r="V49" s="110"/>
    </row>
    <row r="50" spans="2:22">
      <c r="B50" s="164"/>
      <c r="C50" s="71" t="s">
        <v>6</v>
      </c>
      <c r="D50" s="44">
        <f t="shared" si="28"/>
        <v>0</v>
      </c>
      <c r="E50" s="69"/>
      <c r="F50" s="110"/>
      <c r="G50" s="71" t="s">
        <v>6</v>
      </c>
      <c r="H50" s="44">
        <v>1</v>
      </c>
      <c r="I50" s="69"/>
      <c r="J50" s="110"/>
      <c r="K50" s="71" t="s">
        <v>6</v>
      </c>
      <c r="L50" s="44">
        <f t="shared" si="29"/>
        <v>0</v>
      </c>
      <c r="M50" s="69"/>
      <c r="N50" s="110"/>
      <c r="O50" s="71" t="s">
        <v>6</v>
      </c>
      <c r="P50" s="70">
        <v>1</v>
      </c>
      <c r="Q50" s="69"/>
      <c r="R50" s="110"/>
      <c r="S50" s="71" t="s">
        <v>6</v>
      </c>
      <c r="T50" s="70">
        <f>U50</f>
        <v>0</v>
      </c>
      <c r="U50" s="69"/>
      <c r="V50" s="110"/>
    </row>
    <row r="51" spans="2:22" ht="18.75" customHeight="1">
      <c r="B51" s="164"/>
      <c r="C51" s="153" t="s">
        <v>7</v>
      </c>
      <c r="D51" s="44">
        <f>E51</f>
        <v>2.5</v>
      </c>
      <c r="E51" s="69">
        <v>2.5</v>
      </c>
      <c r="F51" s="104"/>
      <c r="G51" s="153" t="s">
        <v>7</v>
      </c>
      <c r="H51" s="44">
        <f>I51</f>
        <v>2.5</v>
      </c>
      <c r="I51" s="69">
        <v>2.5</v>
      </c>
      <c r="J51" s="104"/>
      <c r="K51" s="153" t="s">
        <v>7</v>
      </c>
      <c r="L51" s="44">
        <f>M51</f>
        <v>2.5</v>
      </c>
      <c r="M51" s="69">
        <v>2.5</v>
      </c>
      <c r="N51" s="110"/>
      <c r="O51" s="153" t="s">
        <v>7</v>
      </c>
      <c r="P51" s="70">
        <f>Q51</f>
        <v>2.5</v>
      </c>
      <c r="Q51" s="69">
        <v>2.5</v>
      </c>
      <c r="R51" s="110"/>
      <c r="S51" s="153" t="s">
        <v>7</v>
      </c>
      <c r="T51" s="70">
        <f>U51</f>
        <v>2.5</v>
      </c>
      <c r="U51" s="69">
        <v>2.5</v>
      </c>
      <c r="V51" s="110"/>
    </row>
    <row r="52" spans="2:22">
      <c r="B52" s="164"/>
      <c r="C52" s="153"/>
      <c r="D52" s="44"/>
      <c r="E52" s="69">
        <v>0</v>
      </c>
      <c r="F52" s="104"/>
      <c r="G52" s="153"/>
      <c r="H52" s="44"/>
      <c r="I52" s="69">
        <v>0</v>
      </c>
      <c r="J52" s="104"/>
      <c r="K52" s="153"/>
      <c r="L52" s="44"/>
      <c r="M52" s="69">
        <v>0</v>
      </c>
      <c r="N52" s="110"/>
      <c r="O52" s="153"/>
      <c r="P52" s="70"/>
      <c r="Q52" s="69">
        <v>0</v>
      </c>
      <c r="R52" s="110"/>
      <c r="S52" s="153"/>
      <c r="T52" s="70"/>
      <c r="U52" s="69">
        <v>0</v>
      </c>
      <c r="V52" s="110"/>
    </row>
    <row r="53" spans="2:22">
      <c r="B53" s="165"/>
      <c r="C53" s="72" t="s">
        <v>8</v>
      </c>
      <c r="D53" s="73">
        <f t="shared" ref="D53" si="32">D46*70+D47*120+D48*75+D49*25+D50*60+D51*45</f>
        <v>684.17857142857144</v>
      </c>
      <c r="E53" s="74"/>
      <c r="F53" s="111"/>
      <c r="G53" s="72" t="s">
        <v>8</v>
      </c>
      <c r="H53" s="73">
        <f>H46*70+H47*120+H48*75+H49*25+H50*60+H51*45</f>
        <v>684</v>
      </c>
      <c r="I53" s="74"/>
      <c r="J53" s="111"/>
      <c r="K53" s="72" t="s">
        <v>8</v>
      </c>
      <c r="L53" s="73">
        <f t="shared" ref="L53" si="33">L46*70+L47*120+L48*75+L49*25+L50*60+L51*45</f>
        <v>643.87212787212786</v>
      </c>
      <c r="M53" s="74"/>
      <c r="N53" s="111"/>
      <c r="O53" s="72" t="s">
        <v>8</v>
      </c>
      <c r="P53" s="75">
        <f t="shared" ref="P53" si="34">P46*70+P47*120+P48*75+P49*25+P50*60+P51*45</f>
        <v>651.74107142857144</v>
      </c>
      <c r="Q53" s="74"/>
      <c r="R53" s="111"/>
      <c r="S53" s="72" t="s">
        <v>8</v>
      </c>
      <c r="T53" s="75">
        <f t="shared" ref="T53" si="35">T46*70+T47*120+T48*75+T49*25+T50*60+T51*45</f>
        <v>620.46428571428567</v>
      </c>
      <c r="U53" s="74"/>
      <c r="V53" s="111"/>
    </row>
    <row r="54" spans="2:22">
      <c r="B54" s="76"/>
    </row>
    <row r="55" spans="2:22">
      <c r="B55" s="76"/>
    </row>
    <row r="56" spans="2:22">
      <c r="B56" s="76"/>
    </row>
  </sheetData>
  <mergeCells count="48">
    <mergeCell ref="B1:T1"/>
    <mergeCell ref="S3:T3"/>
    <mergeCell ref="B4:B12"/>
    <mergeCell ref="C4:D4"/>
    <mergeCell ref="G4:H4"/>
    <mergeCell ref="K4:L4"/>
    <mergeCell ref="O4:P4"/>
    <mergeCell ref="S4:T4"/>
    <mergeCell ref="G2:H2"/>
    <mergeCell ref="C3:D3"/>
    <mergeCell ref="G3:H3"/>
    <mergeCell ref="K3:L3"/>
    <mergeCell ref="O3:P3"/>
    <mergeCell ref="S22:T22"/>
    <mergeCell ref="B13:B21"/>
    <mergeCell ref="C13:D13"/>
    <mergeCell ref="G13:H13"/>
    <mergeCell ref="K13:L13"/>
    <mergeCell ref="O13:P13"/>
    <mergeCell ref="S13:T13"/>
    <mergeCell ref="B22:B30"/>
    <mergeCell ref="C22:D22"/>
    <mergeCell ref="G22:H22"/>
    <mergeCell ref="K22:L22"/>
    <mergeCell ref="O22:P22"/>
    <mergeCell ref="S37:T37"/>
    <mergeCell ref="B31:B36"/>
    <mergeCell ref="C31:D31"/>
    <mergeCell ref="G31:H31"/>
    <mergeCell ref="K31:L31"/>
    <mergeCell ref="O31:P31"/>
    <mergeCell ref="S31:T31"/>
    <mergeCell ref="B37:B44"/>
    <mergeCell ref="C37:D37"/>
    <mergeCell ref="G37:H37"/>
    <mergeCell ref="O37:P37"/>
    <mergeCell ref="K37:L37"/>
    <mergeCell ref="B46:B53"/>
    <mergeCell ref="C51:C52"/>
    <mergeCell ref="G51:G52"/>
    <mergeCell ref="K51:K52"/>
    <mergeCell ref="O51:O52"/>
    <mergeCell ref="S51:S52"/>
    <mergeCell ref="C45:D45"/>
    <mergeCell ref="G45:H45"/>
    <mergeCell ref="K45:L45"/>
    <mergeCell ref="O45:P45"/>
    <mergeCell ref="S45:T45"/>
  </mergeCells>
  <phoneticPr fontId="2" type="noConversion"/>
  <printOptions horizontalCentered="1" verticalCentered="1"/>
  <pageMargins left="0" right="0" top="0" bottom="0" header="0.31496062992125984" footer="0.31496062992125984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V56"/>
  <sheetViews>
    <sheetView view="pageBreakPreview" topLeftCell="A28" zoomScaleNormal="85" zoomScaleSheetLayoutView="100" workbookViewId="0">
      <selection activeCell="L47" sqref="L47"/>
    </sheetView>
  </sheetViews>
  <sheetFormatPr defaultColWidth="9" defaultRowHeight="19.5"/>
  <cols>
    <col min="1" max="1" width="0.75" style="5" customWidth="1"/>
    <col min="2" max="2" width="7.625" style="79" customWidth="1"/>
    <col min="3" max="3" width="9.125" style="5" customWidth="1"/>
    <col min="4" max="4" width="9.125" style="77" customWidth="1"/>
    <col min="5" max="5" width="9.125" style="77" hidden="1" customWidth="1"/>
    <col min="6" max="6" width="9.125" style="112" hidden="1" customWidth="1"/>
    <col min="7" max="7" width="9.125" style="5" customWidth="1"/>
    <col min="8" max="8" width="9.125" style="77" customWidth="1"/>
    <col min="9" max="9" width="9.125" style="77" hidden="1" customWidth="1"/>
    <col min="10" max="10" width="9.125" style="112" hidden="1" customWidth="1"/>
    <col min="11" max="11" width="9.125" style="5" customWidth="1"/>
    <col min="12" max="12" width="9.125" style="77" customWidth="1"/>
    <col min="13" max="13" width="9.125" style="77" hidden="1" customWidth="1"/>
    <col min="14" max="14" width="9.125" style="112" hidden="1" customWidth="1"/>
    <col min="15" max="15" width="9.125" style="5" customWidth="1"/>
    <col min="16" max="16" width="9.125" style="78" customWidth="1"/>
    <col min="17" max="17" width="9.125" style="5" hidden="1" customWidth="1"/>
    <col min="18" max="18" width="9.125" style="112" hidden="1" customWidth="1"/>
    <col min="19" max="19" width="9.125" style="5" customWidth="1"/>
    <col min="20" max="20" width="9.125" style="78" customWidth="1"/>
    <col min="21" max="21" width="9.125" style="5" hidden="1" customWidth="1"/>
    <col min="22" max="22" width="9.125" style="112" hidden="1" customWidth="1"/>
    <col min="23" max="16384" width="9" style="5"/>
  </cols>
  <sheetData>
    <row r="1" spans="2:22" s="3" customFormat="1">
      <c r="B1" s="151" t="s">
        <v>381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S1" s="152"/>
      <c r="T1" s="152"/>
      <c r="U1" s="43"/>
      <c r="V1" s="43"/>
    </row>
    <row r="2" spans="2:22" s="3" customFormat="1" ht="18.75" customHeight="1">
      <c r="B2" s="20" t="s">
        <v>0</v>
      </c>
      <c r="C2" s="4"/>
      <c r="D2" s="44"/>
      <c r="E2" s="44"/>
      <c r="F2" s="106"/>
      <c r="G2" s="154"/>
      <c r="H2" s="154"/>
      <c r="I2" s="44"/>
      <c r="J2" s="106"/>
      <c r="K2" s="4"/>
      <c r="L2" s="44"/>
      <c r="M2" s="44"/>
      <c r="N2" s="106"/>
      <c r="O2" s="42"/>
      <c r="P2" s="45"/>
      <c r="Q2" s="4"/>
      <c r="R2" s="106"/>
      <c r="S2" s="42"/>
      <c r="T2" s="45"/>
      <c r="U2" s="4"/>
      <c r="V2" s="106"/>
    </row>
    <row r="3" spans="2:22" ht="21" customHeight="1">
      <c r="B3" s="46" t="s">
        <v>1</v>
      </c>
      <c r="C3" s="155">
        <v>43066</v>
      </c>
      <c r="D3" s="156"/>
      <c r="E3" s="87"/>
      <c r="F3" s="107"/>
      <c r="G3" s="155">
        <v>43067</v>
      </c>
      <c r="H3" s="156"/>
      <c r="I3" s="87"/>
      <c r="J3" s="107"/>
      <c r="K3" s="155">
        <v>43068</v>
      </c>
      <c r="L3" s="156"/>
      <c r="M3" s="87"/>
      <c r="N3" s="107"/>
      <c r="O3" s="155">
        <v>43069</v>
      </c>
      <c r="P3" s="156"/>
      <c r="Q3" s="87"/>
      <c r="R3" s="107"/>
      <c r="S3" s="155"/>
      <c r="T3" s="156"/>
      <c r="U3" s="87"/>
      <c r="V3" s="107"/>
    </row>
    <row r="4" spans="2:22" ht="19.5" customHeight="1">
      <c r="B4" s="159" t="s">
        <v>15</v>
      </c>
      <c r="C4" s="157" t="s">
        <v>36</v>
      </c>
      <c r="D4" s="160"/>
      <c r="E4" s="88"/>
      <c r="F4" s="101"/>
      <c r="G4" s="157" t="s">
        <v>71</v>
      </c>
      <c r="H4" s="160"/>
      <c r="I4" s="88"/>
      <c r="J4" s="101"/>
      <c r="K4" s="157" t="s">
        <v>340</v>
      </c>
      <c r="L4" s="160"/>
      <c r="M4" s="88"/>
      <c r="N4" s="101"/>
      <c r="O4" s="157" t="s">
        <v>323</v>
      </c>
      <c r="P4" s="160"/>
      <c r="Q4" s="88"/>
      <c r="R4" s="101"/>
      <c r="S4" s="157"/>
      <c r="T4" s="160"/>
      <c r="U4" s="88"/>
      <c r="V4" s="101"/>
    </row>
    <row r="5" spans="2:22" ht="19.5" customHeight="1">
      <c r="B5" s="159"/>
      <c r="C5" s="21" t="s">
        <v>134</v>
      </c>
      <c r="D5" s="85">
        <v>85</v>
      </c>
      <c r="E5" s="83">
        <f>D5/20</f>
        <v>4.25</v>
      </c>
      <c r="F5" s="108">
        <f>D5*1950/1000</f>
        <v>165.75</v>
      </c>
      <c r="G5" s="21" t="s">
        <v>134</v>
      </c>
      <c r="H5" s="85">
        <v>80</v>
      </c>
      <c r="I5" s="83">
        <f t="shared" ref="I5:I6" si="0">H5/20</f>
        <v>4</v>
      </c>
      <c r="J5" s="108">
        <f>H5*1950/1000</f>
        <v>156</v>
      </c>
      <c r="K5" s="96" t="s">
        <v>341</v>
      </c>
      <c r="L5" s="97">
        <v>120</v>
      </c>
      <c r="M5" s="117">
        <f>L5/40</f>
        <v>3</v>
      </c>
      <c r="N5" s="108">
        <f>L5*1950/1000</f>
        <v>234</v>
      </c>
      <c r="O5" s="21" t="s">
        <v>134</v>
      </c>
      <c r="P5" s="85">
        <v>80</v>
      </c>
      <c r="Q5" s="83">
        <f t="shared" ref="Q5:Q6" si="1">P5/20</f>
        <v>4</v>
      </c>
      <c r="R5" s="108">
        <f>P5*1950/1000</f>
        <v>156</v>
      </c>
      <c r="S5" s="10"/>
      <c r="T5" s="62"/>
      <c r="U5" s="89"/>
      <c r="V5" s="108">
        <f>T5*1950/1000</f>
        <v>0</v>
      </c>
    </row>
    <row r="6" spans="2:22" ht="19.5" customHeight="1">
      <c r="B6" s="159"/>
      <c r="C6" s="21"/>
      <c r="D6" s="57"/>
      <c r="E6" s="89"/>
      <c r="F6" s="108">
        <f>D6*1950/1000/0.6</f>
        <v>0</v>
      </c>
      <c r="G6" s="21" t="s">
        <v>74</v>
      </c>
      <c r="H6" s="57">
        <v>5</v>
      </c>
      <c r="I6" s="83">
        <f t="shared" si="0"/>
        <v>0.25</v>
      </c>
      <c r="J6" s="108">
        <f>H6*1950/1000/0.6</f>
        <v>16.25</v>
      </c>
      <c r="K6" s="17" t="s">
        <v>207</v>
      </c>
      <c r="L6" s="48">
        <v>30</v>
      </c>
      <c r="M6" s="127">
        <f>L6/100</f>
        <v>0.3</v>
      </c>
      <c r="N6" s="108">
        <f>L6*1950/1000/0.6</f>
        <v>97.5</v>
      </c>
      <c r="O6" s="21"/>
      <c r="P6" s="57"/>
      <c r="Q6" s="83">
        <f t="shared" si="1"/>
        <v>0</v>
      </c>
      <c r="R6" s="108">
        <f>P6*1950/1000/0.6</f>
        <v>0</v>
      </c>
      <c r="S6" s="12"/>
      <c r="T6" s="57"/>
      <c r="U6" s="89"/>
      <c r="V6" s="108">
        <f>T6*1950/1000/0.6</f>
        <v>0</v>
      </c>
    </row>
    <row r="7" spans="2:22" ht="19.5" customHeight="1">
      <c r="B7" s="159"/>
      <c r="C7" s="61"/>
      <c r="D7" s="57"/>
      <c r="E7" s="56"/>
      <c r="F7" s="108">
        <f t="shared" ref="F7:F44" si="2">D7*1950/1000</f>
        <v>0</v>
      </c>
      <c r="G7" s="61"/>
      <c r="H7" s="57"/>
      <c r="I7" s="56"/>
      <c r="J7" s="108">
        <f t="shared" ref="J7:J44" si="3">H7*1950/1000</f>
        <v>0</v>
      </c>
      <c r="K7" s="17" t="s">
        <v>208</v>
      </c>
      <c r="L7" s="48">
        <v>10</v>
      </c>
      <c r="M7" s="56">
        <f>L7/35</f>
        <v>0.2857142857142857</v>
      </c>
      <c r="N7" s="108">
        <f t="shared" ref="N7:N44" si="4">L7*1950/1000</f>
        <v>19.5</v>
      </c>
      <c r="O7" s="61"/>
      <c r="P7" s="57"/>
      <c r="Q7" s="56"/>
      <c r="R7" s="108">
        <f t="shared" ref="R7:R44" si="5">P7*1950/1000</f>
        <v>0</v>
      </c>
      <c r="S7" s="12"/>
      <c r="T7" s="57"/>
      <c r="U7" s="56"/>
      <c r="V7" s="108">
        <f t="shared" ref="V7:V44" si="6">T7*1950/1000</f>
        <v>0</v>
      </c>
    </row>
    <row r="8" spans="2:22" ht="19.5" customHeight="1">
      <c r="B8" s="159"/>
      <c r="C8" s="17"/>
      <c r="D8" s="48"/>
      <c r="E8" s="56"/>
      <c r="F8" s="108">
        <f t="shared" si="2"/>
        <v>0</v>
      </c>
      <c r="G8" s="17"/>
      <c r="H8" s="48"/>
      <c r="I8" s="56"/>
      <c r="J8" s="108">
        <f t="shared" si="3"/>
        <v>0</v>
      </c>
      <c r="K8" s="17" t="s">
        <v>209</v>
      </c>
      <c r="L8" s="48">
        <v>5</v>
      </c>
      <c r="M8" s="120">
        <f>L8/100</f>
        <v>0.05</v>
      </c>
      <c r="N8" s="108">
        <f t="shared" si="4"/>
        <v>9.75</v>
      </c>
      <c r="O8" s="17"/>
      <c r="P8" s="48"/>
      <c r="Q8" s="56"/>
      <c r="R8" s="108">
        <f t="shared" si="5"/>
        <v>0</v>
      </c>
      <c r="S8" s="12"/>
      <c r="T8" s="57"/>
      <c r="U8" s="56"/>
      <c r="V8" s="108">
        <f t="shared" si="6"/>
        <v>0</v>
      </c>
    </row>
    <row r="9" spans="2:22" ht="19.5" customHeight="1">
      <c r="B9" s="159"/>
      <c r="C9" s="49"/>
      <c r="D9" s="51"/>
      <c r="E9" s="59"/>
      <c r="F9" s="108">
        <f t="shared" si="2"/>
        <v>0</v>
      </c>
      <c r="G9" s="49"/>
      <c r="H9" s="51"/>
      <c r="I9" s="59"/>
      <c r="J9" s="108">
        <f t="shared" si="3"/>
        <v>0</v>
      </c>
      <c r="K9" s="17" t="s">
        <v>210</v>
      </c>
      <c r="L9" s="48">
        <v>2</v>
      </c>
      <c r="M9" s="120">
        <f>L9/100</f>
        <v>0.02</v>
      </c>
      <c r="N9" s="108">
        <f t="shared" si="4"/>
        <v>3.9</v>
      </c>
      <c r="O9" s="49"/>
      <c r="P9" s="51"/>
      <c r="Q9" s="59"/>
      <c r="R9" s="108">
        <f t="shared" si="5"/>
        <v>0</v>
      </c>
      <c r="S9" s="55"/>
      <c r="T9" s="57"/>
      <c r="U9" s="59"/>
      <c r="V9" s="108">
        <f t="shared" si="6"/>
        <v>0</v>
      </c>
    </row>
    <row r="10" spans="2:22">
      <c r="B10" s="159"/>
      <c r="C10" s="49"/>
      <c r="D10" s="51"/>
      <c r="E10" s="59"/>
      <c r="F10" s="108">
        <f t="shared" si="2"/>
        <v>0</v>
      </c>
      <c r="G10" s="49"/>
      <c r="H10" s="51"/>
      <c r="I10" s="59"/>
      <c r="J10" s="108">
        <f t="shared" si="3"/>
        <v>0</v>
      </c>
      <c r="K10" s="17" t="s">
        <v>211</v>
      </c>
      <c r="L10" s="48">
        <v>1</v>
      </c>
      <c r="M10" s="120">
        <f>L10/100</f>
        <v>0.01</v>
      </c>
      <c r="N10" s="108">
        <f t="shared" si="4"/>
        <v>1.95</v>
      </c>
      <c r="O10" s="49"/>
      <c r="P10" s="51"/>
      <c r="Q10" s="59"/>
      <c r="R10" s="108">
        <f t="shared" si="5"/>
        <v>0</v>
      </c>
      <c r="S10" s="55"/>
      <c r="T10" s="57"/>
      <c r="U10" s="59"/>
      <c r="V10" s="108">
        <f t="shared" si="6"/>
        <v>0</v>
      </c>
    </row>
    <row r="11" spans="2:22">
      <c r="B11" s="159"/>
      <c r="C11" s="49"/>
      <c r="D11" s="51"/>
      <c r="E11" s="59"/>
      <c r="F11" s="108">
        <f t="shared" si="2"/>
        <v>0</v>
      </c>
      <c r="G11" s="49"/>
      <c r="H11" s="51"/>
      <c r="I11" s="59"/>
      <c r="J11" s="108">
        <f t="shared" si="3"/>
        <v>0</v>
      </c>
      <c r="K11" s="128" t="s">
        <v>212</v>
      </c>
      <c r="L11" s="129">
        <v>0.3</v>
      </c>
      <c r="M11" s="130">
        <f>L11/10</f>
        <v>0.03</v>
      </c>
      <c r="N11" s="108">
        <f t="shared" si="4"/>
        <v>0.58499999999999996</v>
      </c>
      <c r="O11" s="49"/>
      <c r="P11" s="51"/>
      <c r="Q11" s="59"/>
      <c r="R11" s="108">
        <f t="shared" si="5"/>
        <v>0</v>
      </c>
      <c r="S11" s="49"/>
      <c r="T11" s="51"/>
      <c r="U11" s="59"/>
      <c r="V11" s="108">
        <f t="shared" si="6"/>
        <v>0</v>
      </c>
    </row>
    <row r="12" spans="2:22">
      <c r="B12" s="159"/>
      <c r="C12" s="49"/>
      <c r="D12" s="51"/>
      <c r="E12" s="81"/>
      <c r="F12" s="108">
        <f t="shared" si="2"/>
        <v>0</v>
      </c>
      <c r="G12" s="49"/>
      <c r="H12" s="51"/>
      <c r="I12" s="59"/>
      <c r="J12" s="108">
        <f t="shared" si="3"/>
        <v>0</v>
      </c>
      <c r="K12" s="128" t="s">
        <v>213</v>
      </c>
      <c r="L12" s="129">
        <v>1</v>
      </c>
      <c r="M12" s="120">
        <f>L12/100</f>
        <v>0.01</v>
      </c>
      <c r="N12" s="108">
        <f t="shared" si="4"/>
        <v>1.95</v>
      </c>
      <c r="O12" s="49"/>
      <c r="P12" s="51"/>
      <c r="Q12" s="81"/>
      <c r="R12" s="108">
        <f t="shared" si="5"/>
        <v>0</v>
      </c>
      <c r="S12" s="49"/>
      <c r="T12" s="51"/>
      <c r="U12" s="81"/>
      <c r="V12" s="108">
        <f t="shared" si="6"/>
        <v>0</v>
      </c>
    </row>
    <row r="13" spans="2:22">
      <c r="B13" s="159" t="s">
        <v>16</v>
      </c>
      <c r="C13" s="157" t="s">
        <v>197</v>
      </c>
      <c r="D13" s="160"/>
      <c r="E13" s="88"/>
      <c r="F13" s="108">
        <f t="shared" si="2"/>
        <v>0</v>
      </c>
      <c r="G13" s="157" t="s">
        <v>328</v>
      </c>
      <c r="H13" s="160"/>
      <c r="I13" s="102"/>
      <c r="J13" s="108">
        <f t="shared" si="3"/>
        <v>0</v>
      </c>
      <c r="K13" s="157" t="s">
        <v>342</v>
      </c>
      <c r="L13" s="160"/>
      <c r="M13" s="102"/>
      <c r="N13" s="108">
        <f t="shared" si="4"/>
        <v>0</v>
      </c>
      <c r="O13" s="157" t="s">
        <v>198</v>
      </c>
      <c r="P13" s="160"/>
      <c r="Q13" s="88"/>
      <c r="R13" s="108">
        <f t="shared" si="5"/>
        <v>0</v>
      </c>
      <c r="S13" s="157"/>
      <c r="T13" s="160"/>
      <c r="U13" s="88"/>
      <c r="V13" s="108">
        <f t="shared" si="6"/>
        <v>0</v>
      </c>
    </row>
    <row r="14" spans="2:22">
      <c r="B14" s="159"/>
      <c r="C14" s="10" t="s">
        <v>75</v>
      </c>
      <c r="D14" s="85">
        <v>70</v>
      </c>
      <c r="E14" s="11">
        <f>D14*0.7/40</f>
        <v>1.2250000000000001</v>
      </c>
      <c r="F14" s="108">
        <f t="shared" si="2"/>
        <v>136.5</v>
      </c>
      <c r="G14" s="10" t="s">
        <v>271</v>
      </c>
      <c r="H14" s="85">
        <v>60</v>
      </c>
      <c r="I14" s="53">
        <f>H14/35</f>
        <v>1.7142857142857142</v>
      </c>
      <c r="J14" s="108">
        <f t="shared" si="3"/>
        <v>117</v>
      </c>
      <c r="K14" s="10" t="s">
        <v>343</v>
      </c>
      <c r="L14" s="52">
        <v>65</v>
      </c>
      <c r="M14" s="53">
        <f>L14*0.6/40</f>
        <v>0.97499999999999998</v>
      </c>
      <c r="N14" s="108">
        <f t="shared" si="4"/>
        <v>126.75</v>
      </c>
      <c r="O14" s="10" t="s">
        <v>220</v>
      </c>
      <c r="P14" s="85">
        <v>50</v>
      </c>
      <c r="Q14" s="11">
        <f>P14/30</f>
        <v>1.6666666666666667</v>
      </c>
      <c r="R14" s="108">
        <f t="shared" si="5"/>
        <v>97.5</v>
      </c>
      <c r="S14" s="10"/>
      <c r="T14" s="85"/>
      <c r="U14" s="11"/>
      <c r="V14" s="108">
        <f t="shared" si="6"/>
        <v>0</v>
      </c>
    </row>
    <row r="15" spans="2:22">
      <c r="B15" s="159"/>
      <c r="C15" s="12" t="s">
        <v>200</v>
      </c>
      <c r="D15" s="57">
        <v>20</v>
      </c>
      <c r="E15" s="18">
        <f>D15/30</f>
        <v>0.66666666666666663</v>
      </c>
      <c r="F15" s="108">
        <f>D15*1950/1000</f>
        <v>39</v>
      </c>
      <c r="G15" s="12" t="s">
        <v>331</v>
      </c>
      <c r="H15" s="57">
        <v>30</v>
      </c>
      <c r="I15" s="120">
        <f>H15/100</f>
        <v>0.3</v>
      </c>
      <c r="J15" s="108">
        <f>H15*1950/1000</f>
        <v>58.5</v>
      </c>
      <c r="K15" s="12"/>
      <c r="L15" s="54"/>
      <c r="M15" s="19"/>
      <c r="N15" s="108">
        <f>L15*1950/1000</f>
        <v>0</v>
      </c>
      <c r="O15" s="12"/>
      <c r="P15" s="57"/>
      <c r="Q15" s="19"/>
      <c r="R15" s="108">
        <f>P15*1950/1000</f>
        <v>0</v>
      </c>
      <c r="S15" s="12"/>
      <c r="T15" s="57"/>
      <c r="U15" s="19"/>
      <c r="V15" s="108">
        <f>T15*1950/1000</f>
        <v>0</v>
      </c>
    </row>
    <row r="16" spans="2:22">
      <c r="B16" s="159"/>
      <c r="C16" s="12" t="s">
        <v>84</v>
      </c>
      <c r="D16" s="57">
        <v>5</v>
      </c>
      <c r="E16" s="125">
        <f t="shared" ref="E16:E18" si="7">D16/100</f>
        <v>0.05</v>
      </c>
      <c r="F16" s="108">
        <f>D16*1950/1000</f>
        <v>9.75</v>
      </c>
      <c r="G16" s="128" t="s">
        <v>332</v>
      </c>
      <c r="H16" s="57">
        <v>3</v>
      </c>
      <c r="I16" s="120">
        <f>H16/100</f>
        <v>0.03</v>
      </c>
      <c r="J16" s="108">
        <f>H16*1950/1000</f>
        <v>5.85</v>
      </c>
      <c r="K16" s="12"/>
      <c r="L16" s="54"/>
      <c r="M16" s="19"/>
      <c r="N16" s="108">
        <f>L16*1950/1000</f>
        <v>0</v>
      </c>
      <c r="O16" s="12"/>
      <c r="P16" s="57"/>
      <c r="Q16" s="19"/>
      <c r="R16" s="108">
        <f>P16*1950/1000</f>
        <v>0</v>
      </c>
      <c r="S16" s="12"/>
      <c r="T16" s="57"/>
      <c r="U16" s="19"/>
      <c r="V16" s="108">
        <f>T16*1950/1000</f>
        <v>0</v>
      </c>
    </row>
    <row r="17" spans="2:22">
      <c r="B17" s="159"/>
      <c r="C17" s="12" t="s">
        <v>201</v>
      </c>
      <c r="D17" s="57">
        <v>1</v>
      </c>
      <c r="E17" s="125">
        <f t="shared" si="7"/>
        <v>0.01</v>
      </c>
      <c r="F17" s="108">
        <f>D17*1950/1000</f>
        <v>1.95</v>
      </c>
      <c r="G17" s="12" t="s">
        <v>310</v>
      </c>
      <c r="H17" s="57">
        <v>5</v>
      </c>
      <c r="I17" s="120">
        <f>H17/100</f>
        <v>0.05</v>
      </c>
      <c r="J17" s="108">
        <f>H17*1950/1000</f>
        <v>9.75</v>
      </c>
      <c r="K17" s="12"/>
      <c r="L17" s="54"/>
      <c r="M17" s="19"/>
      <c r="N17" s="108">
        <f>L17*1950/1000</f>
        <v>0</v>
      </c>
      <c r="O17" s="12"/>
      <c r="P17" s="57"/>
      <c r="Q17" s="19"/>
      <c r="R17" s="108">
        <f>P17*1950/1000</f>
        <v>0</v>
      </c>
      <c r="S17" s="12"/>
      <c r="T17" s="57"/>
      <c r="U17" s="19"/>
      <c r="V17" s="108">
        <f>T17*1950/1000</f>
        <v>0</v>
      </c>
    </row>
    <row r="18" spans="2:22" ht="19.5" customHeight="1">
      <c r="B18" s="159"/>
      <c r="C18" s="55" t="s">
        <v>81</v>
      </c>
      <c r="D18" s="57">
        <v>1</v>
      </c>
      <c r="E18" s="125">
        <f t="shared" si="7"/>
        <v>0.01</v>
      </c>
      <c r="F18" s="108">
        <f>D18*1950/1000</f>
        <v>1.95</v>
      </c>
      <c r="G18" s="55" t="s">
        <v>333</v>
      </c>
      <c r="H18" s="57">
        <v>10</v>
      </c>
      <c r="I18" s="56"/>
      <c r="J18" s="108">
        <f>H18*1950/1000</f>
        <v>19.5</v>
      </c>
      <c r="K18" s="55"/>
      <c r="L18" s="54"/>
      <c r="M18" s="56"/>
      <c r="N18" s="108">
        <f>L18*1950/1000</f>
        <v>0</v>
      </c>
      <c r="O18" s="55"/>
      <c r="P18" s="57"/>
      <c r="Q18" s="56"/>
      <c r="R18" s="108">
        <f>P18*1950/1000</f>
        <v>0</v>
      </c>
      <c r="S18" s="55"/>
      <c r="T18" s="57"/>
      <c r="U18" s="56"/>
      <c r="V18" s="108">
        <f>T18*1950/1000</f>
        <v>0</v>
      </c>
    </row>
    <row r="19" spans="2:22">
      <c r="B19" s="159"/>
      <c r="C19" s="55" t="s">
        <v>330</v>
      </c>
      <c r="D19" s="57">
        <v>20</v>
      </c>
      <c r="E19" s="59"/>
      <c r="F19" s="108">
        <f t="shared" si="2"/>
        <v>39</v>
      </c>
      <c r="G19" s="55"/>
      <c r="H19" s="60"/>
      <c r="I19" s="59"/>
      <c r="J19" s="108">
        <f t="shared" si="3"/>
        <v>0</v>
      </c>
      <c r="K19" s="55"/>
      <c r="L19" s="58"/>
      <c r="M19" s="59"/>
      <c r="N19" s="108">
        <f t="shared" si="4"/>
        <v>0</v>
      </c>
      <c r="O19" s="55"/>
      <c r="P19" s="60"/>
      <c r="Q19" s="59"/>
      <c r="R19" s="108">
        <f t="shared" si="5"/>
        <v>0</v>
      </c>
      <c r="S19" s="55"/>
      <c r="T19" s="60"/>
      <c r="U19" s="59"/>
      <c r="V19" s="108">
        <f t="shared" si="6"/>
        <v>0</v>
      </c>
    </row>
    <row r="20" spans="2:22">
      <c r="B20" s="159"/>
      <c r="C20" s="55"/>
      <c r="D20" s="60"/>
      <c r="E20" s="59"/>
      <c r="F20" s="108">
        <f t="shared" si="2"/>
        <v>0</v>
      </c>
      <c r="G20" s="55"/>
      <c r="H20" s="60"/>
      <c r="I20" s="59"/>
      <c r="J20" s="108">
        <f t="shared" si="3"/>
        <v>0</v>
      </c>
      <c r="K20" s="55"/>
      <c r="L20" s="58"/>
      <c r="M20" s="59"/>
      <c r="N20" s="108">
        <f t="shared" si="4"/>
        <v>0</v>
      </c>
      <c r="O20" s="55"/>
      <c r="P20" s="60"/>
      <c r="Q20" s="59"/>
      <c r="R20" s="108">
        <f t="shared" si="5"/>
        <v>0</v>
      </c>
      <c r="S20" s="55"/>
      <c r="T20" s="60"/>
      <c r="U20" s="59"/>
      <c r="V20" s="108">
        <f t="shared" si="6"/>
        <v>0</v>
      </c>
    </row>
    <row r="21" spans="2:22">
      <c r="B21" s="159"/>
      <c r="C21" s="61"/>
      <c r="D21" s="57"/>
      <c r="E21" s="56">
        <f>D14+D15+D16+D17+D18+D19+D20</f>
        <v>117</v>
      </c>
      <c r="F21" s="108">
        <f t="shared" si="2"/>
        <v>0</v>
      </c>
      <c r="G21" s="61"/>
      <c r="H21" s="57"/>
      <c r="I21" s="56">
        <f>H14+H15+H16+H17+H18+H19+H20</f>
        <v>108</v>
      </c>
      <c r="J21" s="108">
        <f t="shared" si="3"/>
        <v>0</v>
      </c>
      <c r="K21" s="61"/>
      <c r="L21" s="54"/>
      <c r="M21" s="56">
        <f>L14+L15+L16+L17+L18+L19+L20</f>
        <v>65</v>
      </c>
      <c r="N21" s="108">
        <f t="shared" si="4"/>
        <v>0</v>
      </c>
      <c r="O21" s="61"/>
      <c r="P21" s="57"/>
      <c r="Q21" s="56">
        <f>P14+P15+P16+P17+P18+P19+P20</f>
        <v>50</v>
      </c>
      <c r="R21" s="108">
        <f t="shared" si="5"/>
        <v>0</v>
      </c>
      <c r="S21" s="61"/>
      <c r="T21" s="57"/>
      <c r="U21" s="56">
        <f>T14+T15+T16+T17+T18+T19+T20</f>
        <v>0</v>
      </c>
      <c r="V21" s="108">
        <f t="shared" si="6"/>
        <v>0</v>
      </c>
    </row>
    <row r="22" spans="2:22">
      <c r="B22" s="159" t="s">
        <v>17</v>
      </c>
      <c r="C22" s="157" t="s">
        <v>327</v>
      </c>
      <c r="D22" s="160"/>
      <c r="E22" s="88"/>
      <c r="F22" s="108">
        <f t="shared" si="2"/>
        <v>0</v>
      </c>
      <c r="G22" s="157" t="s">
        <v>76</v>
      </c>
      <c r="H22" s="160"/>
      <c r="I22" s="102"/>
      <c r="J22" s="108">
        <f t="shared" si="3"/>
        <v>0</v>
      </c>
      <c r="K22" s="157" t="s">
        <v>344</v>
      </c>
      <c r="L22" s="160"/>
      <c r="M22" s="102"/>
      <c r="N22" s="108">
        <f t="shared" si="4"/>
        <v>0</v>
      </c>
      <c r="O22" s="157" t="s">
        <v>346</v>
      </c>
      <c r="P22" s="160"/>
      <c r="Q22" s="88"/>
      <c r="R22" s="108">
        <f t="shared" si="5"/>
        <v>0</v>
      </c>
      <c r="S22" s="157"/>
      <c r="T22" s="160"/>
      <c r="U22" s="88"/>
      <c r="V22" s="108">
        <f t="shared" si="6"/>
        <v>0</v>
      </c>
    </row>
    <row r="23" spans="2:22">
      <c r="B23" s="159"/>
      <c r="C23" s="124" t="s">
        <v>202</v>
      </c>
      <c r="D23" s="85">
        <v>35</v>
      </c>
      <c r="E23" s="125">
        <f>D23/100</f>
        <v>0.35</v>
      </c>
      <c r="F23" s="108">
        <f t="shared" si="2"/>
        <v>68.25</v>
      </c>
      <c r="G23" s="10" t="s">
        <v>77</v>
      </c>
      <c r="H23" s="62">
        <v>12</v>
      </c>
      <c r="I23" s="120">
        <f t="shared" ref="I23:I25" si="8">H23/100</f>
        <v>0.12</v>
      </c>
      <c r="J23" s="108">
        <f t="shared" si="3"/>
        <v>23.4</v>
      </c>
      <c r="K23" s="10" t="s">
        <v>345</v>
      </c>
      <c r="L23" s="62">
        <v>20</v>
      </c>
      <c r="M23" s="18">
        <f>L23/30</f>
        <v>0.66666666666666663</v>
      </c>
      <c r="N23" s="108">
        <f t="shared" si="4"/>
        <v>39</v>
      </c>
      <c r="O23" s="10" t="s">
        <v>149</v>
      </c>
      <c r="P23" s="62">
        <v>50</v>
      </c>
      <c r="Q23" s="40">
        <f>P23/60</f>
        <v>0.83333333333333337</v>
      </c>
      <c r="R23" s="108">
        <f t="shared" si="5"/>
        <v>97.5</v>
      </c>
      <c r="S23" s="10"/>
      <c r="T23" s="62"/>
      <c r="U23" s="40"/>
      <c r="V23" s="108">
        <f t="shared" si="6"/>
        <v>0</v>
      </c>
    </row>
    <row r="24" spans="2:22">
      <c r="B24" s="159"/>
      <c r="C24" s="61" t="s">
        <v>203</v>
      </c>
      <c r="D24" s="90">
        <v>20</v>
      </c>
      <c r="E24" s="126">
        <f>D24/70</f>
        <v>0.2857142857142857</v>
      </c>
      <c r="F24" s="108">
        <f t="shared" si="2"/>
        <v>39</v>
      </c>
      <c r="G24" s="12" t="s">
        <v>78</v>
      </c>
      <c r="H24" s="57">
        <v>40</v>
      </c>
      <c r="I24" s="120">
        <f t="shared" si="8"/>
        <v>0.4</v>
      </c>
      <c r="J24" s="108">
        <f t="shared" si="3"/>
        <v>78</v>
      </c>
      <c r="K24" s="55"/>
      <c r="L24" s="57"/>
      <c r="M24" s="58"/>
      <c r="N24" s="108">
        <f t="shared" si="4"/>
        <v>0</v>
      </c>
      <c r="O24" s="12" t="s">
        <v>347</v>
      </c>
      <c r="P24" s="57">
        <v>10</v>
      </c>
      <c r="Q24" s="63">
        <f t="shared" ref="Q24:Q25" si="9">P24/100</f>
        <v>0.1</v>
      </c>
      <c r="R24" s="108">
        <f t="shared" si="5"/>
        <v>19.5</v>
      </c>
      <c r="S24" s="12"/>
      <c r="T24" s="57"/>
      <c r="U24" s="40"/>
      <c r="V24" s="108">
        <f t="shared" si="6"/>
        <v>0</v>
      </c>
    </row>
    <row r="25" spans="2:22">
      <c r="B25" s="159"/>
      <c r="C25" s="61" t="s">
        <v>204</v>
      </c>
      <c r="D25" s="90">
        <v>10</v>
      </c>
      <c r="E25" s="126">
        <f>D25/30</f>
        <v>0.33333333333333331</v>
      </c>
      <c r="F25" s="108">
        <f t="shared" si="2"/>
        <v>19.5</v>
      </c>
      <c r="G25" s="12" t="s">
        <v>56</v>
      </c>
      <c r="H25" s="57">
        <v>3</v>
      </c>
      <c r="I25" s="120">
        <f t="shared" si="8"/>
        <v>0.03</v>
      </c>
      <c r="J25" s="108">
        <f t="shared" si="3"/>
        <v>5.85</v>
      </c>
      <c r="K25" s="12"/>
      <c r="L25" s="54"/>
      <c r="M25" s="19"/>
      <c r="N25" s="108">
        <f t="shared" si="4"/>
        <v>0</v>
      </c>
      <c r="O25" s="12" t="s">
        <v>348</v>
      </c>
      <c r="P25" s="57">
        <v>10</v>
      </c>
      <c r="Q25" s="63">
        <f t="shared" si="9"/>
        <v>0.1</v>
      </c>
      <c r="R25" s="108">
        <f t="shared" si="5"/>
        <v>19.5</v>
      </c>
      <c r="S25" s="12"/>
      <c r="T25" s="57"/>
      <c r="U25" s="19"/>
      <c r="V25" s="108">
        <f t="shared" si="6"/>
        <v>0</v>
      </c>
    </row>
    <row r="26" spans="2:22">
      <c r="B26" s="159"/>
      <c r="C26" s="21" t="s">
        <v>205</v>
      </c>
      <c r="D26" s="90">
        <v>8</v>
      </c>
      <c r="E26" s="126">
        <f>D26/35</f>
        <v>0.22857142857142856</v>
      </c>
      <c r="F26" s="108">
        <f t="shared" si="2"/>
        <v>15.6</v>
      </c>
      <c r="G26" s="12" t="s">
        <v>150</v>
      </c>
      <c r="H26" s="57">
        <v>0.5</v>
      </c>
      <c r="I26" s="18">
        <f>H26/30</f>
        <v>1.6666666666666666E-2</v>
      </c>
      <c r="J26" s="108">
        <f t="shared" si="3"/>
        <v>0.97499999999999998</v>
      </c>
      <c r="K26" s="12"/>
      <c r="L26" s="54"/>
      <c r="M26" s="19"/>
      <c r="N26" s="108">
        <f t="shared" si="4"/>
        <v>0</v>
      </c>
      <c r="O26" s="12" t="s">
        <v>349</v>
      </c>
      <c r="P26" s="57">
        <v>10</v>
      </c>
      <c r="Q26" s="40"/>
      <c r="R26" s="108">
        <f t="shared" si="5"/>
        <v>19.5</v>
      </c>
      <c r="S26" s="12"/>
      <c r="T26" s="57"/>
      <c r="U26" s="40"/>
      <c r="V26" s="108">
        <f t="shared" si="6"/>
        <v>0</v>
      </c>
    </row>
    <row r="27" spans="2:22" ht="20.25" customHeight="1">
      <c r="B27" s="159"/>
      <c r="C27" s="61" t="s">
        <v>206</v>
      </c>
      <c r="D27" s="90">
        <v>5</v>
      </c>
      <c r="E27" s="125">
        <f>D27/100</f>
        <v>0.05</v>
      </c>
      <c r="F27" s="108">
        <f t="shared" si="2"/>
        <v>9.75</v>
      </c>
      <c r="G27" s="55" t="s">
        <v>103</v>
      </c>
      <c r="H27" s="57">
        <v>10</v>
      </c>
      <c r="I27" s="58">
        <f>H27/35</f>
        <v>0.2857142857142857</v>
      </c>
      <c r="J27" s="108">
        <f t="shared" si="3"/>
        <v>19.5</v>
      </c>
      <c r="K27" s="55"/>
      <c r="L27" s="57"/>
      <c r="M27" s="58"/>
      <c r="N27" s="108">
        <f t="shared" si="4"/>
        <v>0</v>
      </c>
      <c r="O27" s="55" t="s">
        <v>350</v>
      </c>
      <c r="P27" s="57">
        <v>5</v>
      </c>
      <c r="Q27" s="56"/>
      <c r="R27" s="108">
        <f t="shared" si="5"/>
        <v>9.75</v>
      </c>
      <c r="S27" s="55"/>
      <c r="T27" s="57"/>
      <c r="U27" s="56"/>
      <c r="V27" s="108">
        <f t="shared" si="6"/>
        <v>0</v>
      </c>
    </row>
    <row r="28" spans="2:22">
      <c r="B28" s="159"/>
      <c r="C28" s="55"/>
      <c r="D28" s="60"/>
      <c r="E28" s="59"/>
      <c r="F28" s="108">
        <f t="shared" si="2"/>
        <v>0</v>
      </c>
      <c r="G28" s="55" t="s">
        <v>136</v>
      </c>
      <c r="H28" s="57">
        <v>5</v>
      </c>
      <c r="I28" s="60"/>
      <c r="J28" s="108">
        <f t="shared" si="3"/>
        <v>9.75</v>
      </c>
      <c r="K28" s="55"/>
      <c r="L28" s="60"/>
      <c r="M28" s="60"/>
      <c r="N28" s="108">
        <f t="shared" si="4"/>
        <v>0</v>
      </c>
      <c r="O28" s="55" t="s">
        <v>351</v>
      </c>
      <c r="P28" s="57">
        <v>5</v>
      </c>
      <c r="Q28" s="59"/>
      <c r="R28" s="108">
        <f t="shared" si="5"/>
        <v>9.75</v>
      </c>
      <c r="S28" s="55"/>
      <c r="T28" s="60"/>
      <c r="U28" s="59"/>
      <c r="V28" s="108">
        <f t="shared" si="6"/>
        <v>0</v>
      </c>
    </row>
    <row r="29" spans="2:22">
      <c r="B29" s="159"/>
      <c r="C29" s="61"/>
      <c r="D29" s="57"/>
      <c r="E29" s="56"/>
      <c r="F29" s="108">
        <f t="shared" si="2"/>
        <v>0</v>
      </c>
      <c r="G29" s="61"/>
      <c r="H29" s="57"/>
      <c r="I29" s="57"/>
      <c r="J29" s="108">
        <f t="shared" si="3"/>
        <v>0</v>
      </c>
      <c r="K29" s="61"/>
      <c r="L29" s="57"/>
      <c r="M29" s="57"/>
      <c r="N29" s="108">
        <f t="shared" si="4"/>
        <v>0</v>
      </c>
      <c r="O29" s="61" t="s">
        <v>352</v>
      </c>
      <c r="P29" s="57">
        <v>5</v>
      </c>
      <c r="Q29" s="56"/>
      <c r="R29" s="108">
        <f t="shared" si="5"/>
        <v>9.75</v>
      </c>
      <c r="S29" s="61"/>
      <c r="T29" s="57"/>
      <c r="U29" s="56"/>
      <c r="V29" s="108">
        <f t="shared" si="6"/>
        <v>0</v>
      </c>
    </row>
    <row r="30" spans="2:22">
      <c r="B30" s="159"/>
      <c r="C30" s="61"/>
      <c r="D30" s="57"/>
      <c r="E30" s="56"/>
      <c r="F30" s="108">
        <f t="shared" si="2"/>
        <v>0</v>
      </c>
      <c r="G30" s="61"/>
      <c r="H30" s="57"/>
      <c r="I30" s="57"/>
      <c r="J30" s="108">
        <f t="shared" si="3"/>
        <v>0</v>
      </c>
      <c r="K30" s="82"/>
      <c r="L30" s="84"/>
      <c r="M30" s="57"/>
      <c r="N30" s="108">
        <f t="shared" si="4"/>
        <v>0</v>
      </c>
      <c r="O30" s="61"/>
      <c r="P30" s="57"/>
      <c r="Q30" s="56"/>
      <c r="R30" s="108">
        <f t="shared" si="5"/>
        <v>0</v>
      </c>
      <c r="S30" s="61"/>
      <c r="T30" s="57"/>
      <c r="U30" s="56"/>
      <c r="V30" s="108">
        <f t="shared" si="6"/>
        <v>0</v>
      </c>
    </row>
    <row r="31" spans="2:22" ht="24" customHeight="1">
      <c r="B31" s="159" t="s">
        <v>18</v>
      </c>
      <c r="C31" s="157" t="s">
        <v>46</v>
      </c>
      <c r="D31" s="158"/>
      <c r="E31" s="86"/>
      <c r="F31" s="108">
        <f t="shared" si="2"/>
        <v>0</v>
      </c>
      <c r="G31" s="157" t="s">
        <v>46</v>
      </c>
      <c r="H31" s="158"/>
      <c r="I31" s="86"/>
      <c r="J31" s="108">
        <f t="shared" si="3"/>
        <v>0</v>
      </c>
      <c r="K31" s="157" t="s">
        <v>46</v>
      </c>
      <c r="L31" s="158"/>
      <c r="M31" s="86"/>
      <c r="N31" s="108">
        <f t="shared" si="4"/>
        <v>0</v>
      </c>
      <c r="O31" s="157" t="s">
        <v>46</v>
      </c>
      <c r="P31" s="158"/>
      <c r="Q31" s="86"/>
      <c r="R31" s="108">
        <f t="shared" si="5"/>
        <v>0</v>
      </c>
      <c r="S31" s="157"/>
      <c r="T31" s="158"/>
      <c r="U31" s="86"/>
      <c r="V31" s="108">
        <f t="shared" si="6"/>
        <v>0</v>
      </c>
    </row>
    <row r="32" spans="2:22">
      <c r="B32" s="159"/>
      <c r="C32" s="16" t="s">
        <v>47</v>
      </c>
      <c r="D32" s="6">
        <v>60</v>
      </c>
      <c r="E32" s="63">
        <f t="shared" ref="E32:E34" si="10">D32/100</f>
        <v>0.6</v>
      </c>
      <c r="F32" s="108">
        <f t="shared" si="2"/>
        <v>117</v>
      </c>
      <c r="G32" s="16" t="s">
        <v>47</v>
      </c>
      <c r="H32" s="6">
        <v>60</v>
      </c>
      <c r="I32" s="63">
        <f t="shared" ref="I32:I34" si="11">H32/100</f>
        <v>0.6</v>
      </c>
      <c r="J32" s="108">
        <f t="shared" si="3"/>
        <v>117</v>
      </c>
      <c r="K32" s="16" t="s">
        <v>47</v>
      </c>
      <c r="L32" s="6">
        <v>60</v>
      </c>
      <c r="M32" s="63">
        <f t="shared" ref="M32:M34" si="12">L32/100</f>
        <v>0.6</v>
      </c>
      <c r="N32" s="108">
        <f t="shared" si="4"/>
        <v>117</v>
      </c>
      <c r="O32" s="16" t="s">
        <v>47</v>
      </c>
      <c r="P32" s="6">
        <v>60</v>
      </c>
      <c r="Q32" s="63">
        <f t="shared" ref="Q32:Q34" si="13">P32/100</f>
        <v>0.6</v>
      </c>
      <c r="R32" s="108">
        <f t="shared" si="5"/>
        <v>117</v>
      </c>
      <c r="S32" s="16"/>
      <c r="T32" s="6"/>
      <c r="U32" s="63">
        <f t="shared" ref="U32:U34" si="14">T32/100</f>
        <v>0</v>
      </c>
      <c r="V32" s="108">
        <f t="shared" si="6"/>
        <v>0</v>
      </c>
    </row>
    <row r="33" spans="2:22">
      <c r="B33" s="159"/>
      <c r="C33" s="17" t="s">
        <v>138</v>
      </c>
      <c r="D33" s="7">
        <v>0.5</v>
      </c>
      <c r="E33" s="14">
        <f t="shared" si="10"/>
        <v>5.0000000000000001E-3</v>
      </c>
      <c r="F33" s="108">
        <f t="shared" si="2"/>
        <v>0.97499999999999998</v>
      </c>
      <c r="G33" s="17" t="s">
        <v>138</v>
      </c>
      <c r="H33" s="7">
        <v>0.5</v>
      </c>
      <c r="I33" s="14">
        <f t="shared" si="11"/>
        <v>5.0000000000000001E-3</v>
      </c>
      <c r="J33" s="108">
        <f t="shared" si="3"/>
        <v>0.97499999999999998</v>
      </c>
      <c r="K33" s="17" t="s">
        <v>138</v>
      </c>
      <c r="L33" s="7">
        <v>0.5</v>
      </c>
      <c r="M33" s="14">
        <f t="shared" si="12"/>
        <v>5.0000000000000001E-3</v>
      </c>
      <c r="N33" s="108">
        <f t="shared" si="4"/>
        <v>0.97499999999999998</v>
      </c>
      <c r="O33" s="17" t="s">
        <v>138</v>
      </c>
      <c r="P33" s="7">
        <v>0.5</v>
      </c>
      <c r="Q33" s="14">
        <f t="shared" si="13"/>
        <v>5.0000000000000001E-3</v>
      </c>
      <c r="R33" s="108">
        <f t="shared" si="5"/>
        <v>0.97499999999999998</v>
      </c>
      <c r="S33" s="17"/>
      <c r="T33" s="7"/>
      <c r="U33" s="14">
        <f t="shared" si="14"/>
        <v>0</v>
      </c>
      <c r="V33" s="108">
        <f t="shared" si="6"/>
        <v>0</v>
      </c>
    </row>
    <row r="34" spans="2:22">
      <c r="B34" s="159"/>
      <c r="C34" s="17" t="s">
        <v>137</v>
      </c>
      <c r="D34" s="7">
        <v>0.5</v>
      </c>
      <c r="E34" s="14">
        <f t="shared" si="10"/>
        <v>5.0000000000000001E-3</v>
      </c>
      <c r="F34" s="108">
        <f t="shared" si="2"/>
        <v>0.97499999999999998</v>
      </c>
      <c r="G34" s="17" t="s">
        <v>137</v>
      </c>
      <c r="H34" s="7">
        <v>0.5</v>
      </c>
      <c r="I34" s="14">
        <f t="shared" si="11"/>
        <v>5.0000000000000001E-3</v>
      </c>
      <c r="J34" s="108">
        <f t="shared" si="3"/>
        <v>0.97499999999999998</v>
      </c>
      <c r="K34" s="17" t="s">
        <v>137</v>
      </c>
      <c r="L34" s="7">
        <v>0.5</v>
      </c>
      <c r="M34" s="14">
        <f t="shared" si="12"/>
        <v>5.0000000000000001E-3</v>
      </c>
      <c r="N34" s="108">
        <f t="shared" si="4"/>
        <v>0.97499999999999998</v>
      </c>
      <c r="O34" s="17" t="s">
        <v>137</v>
      </c>
      <c r="P34" s="7">
        <v>0.5</v>
      </c>
      <c r="Q34" s="14">
        <f t="shared" si="13"/>
        <v>5.0000000000000001E-3</v>
      </c>
      <c r="R34" s="108">
        <f t="shared" si="5"/>
        <v>0.97499999999999998</v>
      </c>
      <c r="S34" s="17"/>
      <c r="T34" s="7"/>
      <c r="U34" s="14">
        <f t="shared" si="14"/>
        <v>0</v>
      </c>
      <c r="V34" s="108">
        <f t="shared" si="6"/>
        <v>0</v>
      </c>
    </row>
    <row r="35" spans="2:22">
      <c r="B35" s="159"/>
      <c r="C35" s="17"/>
      <c r="D35" s="9"/>
      <c r="E35" s="15"/>
      <c r="F35" s="108">
        <f t="shared" si="2"/>
        <v>0</v>
      </c>
      <c r="G35" s="17"/>
      <c r="H35" s="9"/>
      <c r="I35" s="15"/>
      <c r="J35" s="108">
        <f t="shared" si="3"/>
        <v>0</v>
      </c>
      <c r="K35" s="17"/>
      <c r="L35" s="7"/>
      <c r="M35" s="15"/>
      <c r="N35" s="108">
        <f t="shared" si="4"/>
        <v>0</v>
      </c>
      <c r="O35" s="17"/>
      <c r="P35" s="9"/>
      <c r="Q35" s="15"/>
      <c r="R35" s="108">
        <f t="shared" si="5"/>
        <v>0</v>
      </c>
      <c r="S35" s="17"/>
      <c r="T35" s="9"/>
      <c r="U35" s="15"/>
      <c r="V35" s="108">
        <f t="shared" si="6"/>
        <v>0</v>
      </c>
    </row>
    <row r="36" spans="2:22" ht="24" customHeight="1">
      <c r="B36" s="159"/>
      <c r="C36" s="17"/>
      <c r="D36" s="9"/>
      <c r="E36" s="64"/>
      <c r="F36" s="108">
        <f t="shared" si="2"/>
        <v>0</v>
      </c>
      <c r="G36" s="17"/>
      <c r="H36" s="9"/>
      <c r="I36" s="64"/>
      <c r="J36" s="108">
        <f t="shared" si="3"/>
        <v>0</v>
      </c>
      <c r="K36" s="17"/>
      <c r="L36" s="7"/>
      <c r="M36" s="64"/>
      <c r="N36" s="108">
        <f t="shared" si="4"/>
        <v>0</v>
      </c>
      <c r="O36" s="17"/>
      <c r="P36" s="9"/>
      <c r="Q36" s="64"/>
      <c r="R36" s="108">
        <f t="shared" si="5"/>
        <v>0</v>
      </c>
      <c r="S36" s="17"/>
      <c r="T36" s="9"/>
      <c r="U36" s="64"/>
      <c r="V36" s="108">
        <f t="shared" si="6"/>
        <v>0</v>
      </c>
    </row>
    <row r="37" spans="2:22">
      <c r="B37" s="159" t="s">
        <v>2</v>
      </c>
      <c r="C37" s="157" t="s">
        <v>384</v>
      </c>
      <c r="D37" s="160"/>
      <c r="E37" s="102"/>
      <c r="F37" s="108">
        <f t="shared" si="2"/>
        <v>0</v>
      </c>
      <c r="G37" s="157" t="s">
        <v>337</v>
      </c>
      <c r="H37" s="160"/>
      <c r="I37" s="102"/>
      <c r="J37" s="108">
        <f t="shared" si="3"/>
        <v>0</v>
      </c>
      <c r="K37" s="157" t="s">
        <v>168</v>
      </c>
      <c r="L37" s="160"/>
      <c r="M37" s="102"/>
      <c r="N37" s="108">
        <f t="shared" si="4"/>
        <v>0</v>
      </c>
      <c r="O37" s="157" t="s">
        <v>222</v>
      </c>
      <c r="P37" s="160"/>
      <c r="Q37" s="102"/>
      <c r="R37" s="108">
        <f>D37*1950/1000</f>
        <v>0</v>
      </c>
      <c r="S37" s="157"/>
      <c r="T37" s="160"/>
      <c r="U37" s="102"/>
      <c r="V37" s="108">
        <f t="shared" si="6"/>
        <v>0</v>
      </c>
    </row>
    <row r="38" spans="2:22">
      <c r="B38" s="159"/>
      <c r="C38" s="10" t="s">
        <v>373</v>
      </c>
      <c r="D38" s="52">
        <v>30</v>
      </c>
      <c r="E38" s="14">
        <f t="shared" ref="E38" si="15">D38/100</f>
        <v>0.3</v>
      </c>
      <c r="F38" s="108">
        <f>D38*1950/1000/0.6</f>
        <v>97.5</v>
      </c>
      <c r="G38" s="10" t="s">
        <v>322</v>
      </c>
      <c r="H38" s="52">
        <v>10</v>
      </c>
      <c r="I38" s="19">
        <f>H38*0.7/40</f>
        <v>0.17499999999999999</v>
      </c>
      <c r="J38" s="108">
        <f>H38*1950/1000/0.6</f>
        <v>32.5</v>
      </c>
      <c r="K38" s="10" t="s">
        <v>109</v>
      </c>
      <c r="L38" s="52">
        <v>25</v>
      </c>
      <c r="M38" s="19">
        <f>L38/80</f>
        <v>0.3125</v>
      </c>
      <c r="N38" s="108">
        <f>L38*1950/1000/0.6</f>
        <v>81.25</v>
      </c>
      <c r="O38" s="10" t="s">
        <v>223</v>
      </c>
      <c r="P38" s="52">
        <v>15</v>
      </c>
      <c r="Q38" s="14">
        <f t="shared" ref="Q38" si="16">P38/100</f>
        <v>0.15</v>
      </c>
      <c r="R38" s="108">
        <f>P38*1950/1000/0.6</f>
        <v>48.75</v>
      </c>
      <c r="S38" s="10"/>
      <c r="T38" s="52"/>
      <c r="U38" s="19"/>
      <c r="V38" s="108">
        <f>T38*1950/1000/0.6</f>
        <v>0</v>
      </c>
    </row>
    <row r="39" spans="2:22">
      <c r="B39" s="159"/>
      <c r="C39" s="12" t="s">
        <v>219</v>
      </c>
      <c r="D39" s="54">
        <v>10</v>
      </c>
      <c r="E39" s="19">
        <f>D39/55</f>
        <v>0.18181818181818182</v>
      </c>
      <c r="F39" s="108">
        <f t="shared" si="2"/>
        <v>19.5</v>
      </c>
      <c r="G39" s="12" t="s">
        <v>338</v>
      </c>
      <c r="H39" s="54">
        <v>10</v>
      </c>
      <c r="I39" s="14">
        <f t="shared" ref="I39:I41" si="17">H39/100</f>
        <v>0.1</v>
      </c>
      <c r="J39" s="108">
        <f t="shared" si="3"/>
        <v>19.5</v>
      </c>
      <c r="K39" s="12" t="s">
        <v>96</v>
      </c>
      <c r="L39" s="54">
        <v>20</v>
      </c>
      <c r="M39" s="14">
        <f t="shared" ref="M39:M41" si="18">L39/100</f>
        <v>0.2</v>
      </c>
      <c r="N39" s="108">
        <f t="shared" si="4"/>
        <v>39</v>
      </c>
      <c r="O39" s="12" t="s">
        <v>174</v>
      </c>
      <c r="P39" s="54">
        <v>10</v>
      </c>
      <c r="Q39" s="19">
        <f>P39*0.3/35</f>
        <v>8.5714285714285715E-2</v>
      </c>
      <c r="R39" s="108">
        <f>P39*1950/1000/0.6</f>
        <v>32.5</v>
      </c>
      <c r="S39" s="12"/>
      <c r="T39" s="54"/>
      <c r="U39" s="19"/>
      <c r="V39" s="108">
        <f t="shared" si="6"/>
        <v>0</v>
      </c>
    </row>
    <row r="40" spans="2:22">
      <c r="B40" s="159"/>
      <c r="C40" s="12" t="s">
        <v>79</v>
      </c>
      <c r="D40" s="54">
        <v>3</v>
      </c>
      <c r="E40" s="14">
        <f t="shared" ref="E40:E41" si="19">D40/100</f>
        <v>0.03</v>
      </c>
      <c r="F40" s="108">
        <f>D40*1950/1000/0.6</f>
        <v>9.75</v>
      </c>
      <c r="G40" s="12" t="s">
        <v>339</v>
      </c>
      <c r="H40" s="54">
        <v>15</v>
      </c>
      <c r="I40" s="14">
        <f t="shared" si="17"/>
        <v>0.15</v>
      </c>
      <c r="J40" s="108">
        <f>H40*1950/1000/0.6</f>
        <v>48.75</v>
      </c>
      <c r="K40" s="12" t="s">
        <v>176</v>
      </c>
      <c r="L40" s="54">
        <v>8</v>
      </c>
      <c r="M40" s="14" t="s">
        <v>156</v>
      </c>
      <c r="N40" s="108">
        <f>L40*1950/1000/0.6</f>
        <v>26</v>
      </c>
      <c r="O40" s="12" t="s">
        <v>79</v>
      </c>
      <c r="P40" s="54">
        <v>3</v>
      </c>
      <c r="Q40" s="14">
        <f t="shared" ref="Q40" si="20">P40/100</f>
        <v>0.03</v>
      </c>
      <c r="R40" s="108">
        <f>P40*1950/1000/0.6</f>
        <v>9.75</v>
      </c>
      <c r="S40" s="12"/>
      <c r="T40" s="54"/>
      <c r="U40" s="19"/>
      <c r="V40" s="108">
        <f>T40*1950/1000/0.6</f>
        <v>0</v>
      </c>
    </row>
    <row r="41" spans="2:22">
      <c r="B41" s="159"/>
      <c r="C41" s="12" t="s">
        <v>88</v>
      </c>
      <c r="D41" s="54">
        <v>1</v>
      </c>
      <c r="E41" s="14">
        <f t="shared" si="19"/>
        <v>0.01</v>
      </c>
      <c r="F41" s="108">
        <f t="shared" si="2"/>
        <v>1.95</v>
      </c>
      <c r="G41" s="12" t="s">
        <v>246</v>
      </c>
      <c r="H41" s="54">
        <v>10</v>
      </c>
      <c r="I41" s="14">
        <f t="shared" si="17"/>
        <v>0.1</v>
      </c>
      <c r="J41" s="108">
        <f t="shared" si="3"/>
        <v>19.5</v>
      </c>
      <c r="K41" s="12" t="s">
        <v>155</v>
      </c>
      <c r="L41" s="54">
        <v>0.3</v>
      </c>
      <c r="M41" s="14">
        <f t="shared" si="18"/>
        <v>3.0000000000000001E-3</v>
      </c>
      <c r="N41" s="108">
        <f t="shared" si="4"/>
        <v>0.58499999999999996</v>
      </c>
      <c r="O41" s="12"/>
      <c r="P41" s="54"/>
      <c r="Q41" s="19"/>
      <c r="R41" s="108">
        <f t="shared" si="5"/>
        <v>0</v>
      </c>
      <c r="S41" s="12"/>
      <c r="T41" s="54"/>
      <c r="U41" s="19"/>
      <c r="V41" s="108">
        <f t="shared" si="6"/>
        <v>0</v>
      </c>
    </row>
    <row r="42" spans="2:22" ht="20.25" customHeight="1">
      <c r="B42" s="159"/>
      <c r="C42" s="12"/>
      <c r="D42" s="54"/>
      <c r="E42" s="19"/>
      <c r="F42" s="108">
        <f t="shared" si="2"/>
        <v>0</v>
      </c>
      <c r="G42" s="12" t="s">
        <v>287</v>
      </c>
      <c r="H42" s="54">
        <v>2</v>
      </c>
      <c r="I42" s="19"/>
      <c r="J42" s="108">
        <f t="shared" si="3"/>
        <v>3.9</v>
      </c>
      <c r="K42" s="12"/>
      <c r="L42" s="54"/>
      <c r="M42" s="19"/>
      <c r="N42" s="108">
        <f t="shared" si="4"/>
        <v>0</v>
      </c>
      <c r="O42" s="12"/>
      <c r="P42" s="54"/>
      <c r="Q42" s="19"/>
      <c r="R42" s="108">
        <f t="shared" si="5"/>
        <v>0</v>
      </c>
      <c r="S42" s="12"/>
      <c r="T42" s="54"/>
      <c r="U42" s="19"/>
      <c r="V42" s="108">
        <f t="shared" si="6"/>
        <v>0</v>
      </c>
    </row>
    <row r="43" spans="2:22">
      <c r="B43" s="159"/>
      <c r="C43" s="12"/>
      <c r="D43" s="54"/>
      <c r="E43" s="59"/>
      <c r="F43" s="108">
        <f t="shared" si="2"/>
        <v>0</v>
      </c>
      <c r="G43" s="12"/>
      <c r="H43" s="54"/>
      <c r="I43" s="59"/>
      <c r="J43" s="108">
        <f t="shared" si="3"/>
        <v>0</v>
      </c>
      <c r="K43" s="55"/>
      <c r="L43" s="65"/>
      <c r="M43" s="59"/>
      <c r="N43" s="108">
        <f t="shared" si="4"/>
        <v>0</v>
      </c>
      <c r="O43" s="12"/>
      <c r="P43" s="54"/>
      <c r="Q43" s="59"/>
      <c r="R43" s="108">
        <f t="shared" si="5"/>
        <v>0</v>
      </c>
      <c r="S43" s="12"/>
      <c r="T43" s="54"/>
      <c r="U43" s="59"/>
      <c r="V43" s="108">
        <f t="shared" si="6"/>
        <v>0</v>
      </c>
    </row>
    <row r="44" spans="2:22">
      <c r="B44" s="159"/>
      <c r="C44" s="17"/>
      <c r="D44" s="47"/>
      <c r="E44" s="56">
        <f>D44+D38+D39+D40+D41+D42+D43</f>
        <v>44</v>
      </c>
      <c r="F44" s="108">
        <f t="shared" si="2"/>
        <v>0</v>
      </c>
      <c r="G44" s="17"/>
      <c r="H44" s="47"/>
      <c r="I44" s="56">
        <f>H44+H38+H39+H40+H41+H42+H43</f>
        <v>47</v>
      </c>
      <c r="J44" s="108">
        <f t="shared" si="3"/>
        <v>0</v>
      </c>
      <c r="K44" s="17"/>
      <c r="L44" s="47"/>
      <c r="M44" s="56">
        <f>L44+L38+L39+L40+L41+L42+L43</f>
        <v>53.3</v>
      </c>
      <c r="N44" s="108">
        <f t="shared" si="4"/>
        <v>0</v>
      </c>
      <c r="O44" s="17"/>
      <c r="P44" s="47"/>
      <c r="Q44" s="56">
        <f>P44+P38+P39+P40+P41+P42+P43</f>
        <v>28</v>
      </c>
      <c r="R44" s="108">
        <f t="shared" si="5"/>
        <v>0</v>
      </c>
      <c r="S44" s="17"/>
      <c r="T44" s="47"/>
      <c r="U44" s="56">
        <f>T44+T38+T39+T40+T41+T42+T43</f>
        <v>0</v>
      </c>
      <c r="V44" s="108">
        <f t="shared" si="6"/>
        <v>0</v>
      </c>
    </row>
    <row r="45" spans="2:22" ht="24" customHeight="1">
      <c r="B45" s="66" t="s">
        <v>20</v>
      </c>
      <c r="C45" s="161"/>
      <c r="D45" s="162"/>
      <c r="E45" s="67"/>
      <c r="F45" s="109"/>
      <c r="G45" s="161" t="s">
        <v>383</v>
      </c>
      <c r="H45" s="162"/>
      <c r="I45" s="67"/>
      <c r="J45" s="109"/>
      <c r="K45" s="161"/>
      <c r="L45" s="162"/>
      <c r="M45" s="67"/>
      <c r="N45" s="109"/>
      <c r="O45" s="161" t="s">
        <v>358</v>
      </c>
      <c r="P45" s="162"/>
      <c r="Q45" s="67"/>
      <c r="R45" s="109"/>
      <c r="S45" s="161"/>
      <c r="T45" s="162"/>
      <c r="U45" s="67"/>
      <c r="V45" s="109"/>
    </row>
    <row r="46" spans="2:22" ht="21.75" customHeight="1">
      <c r="B46" s="163"/>
      <c r="C46" s="68" t="s">
        <v>24</v>
      </c>
      <c r="D46" s="44">
        <v>4.5</v>
      </c>
      <c r="E46" s="69">
        <f>E5+E15</f>
        <v>4.916666666666667</v>
      </c>
      <c r="F46" s="110"/>
      <c r="G46" s="68" t="s">
        <v>24</v>
      </c>
      <c r="H46" s="44">
        <f>I46</f>
        <v>4.2666666666666666</v>
      </c>
      <c r="I46" s="69">
        <f>I5+I6+I26</f>
        <v>4.2666666666666666</v>
      </c>
      <c r="J46" s="110"/>
      <c r="K46" s="68" t="s">
        <v>24</v>
      </c>
      <c r="L46" s="44">
        <v>4.2</v>
      </c>
      <c r="M46" s="69">
        <f>M5+M23</f>
        <v>3.6666666666666665</v>
      </c>
      <c r="N46" s="110"/>
      <c r="O46" s="68" t="s">
        <v>24</v>
      </c>
      <c r="P46" s="70">
        <f t="shared" ref="P46" si="21">Q46</f>
        <v>4</v>
      </c>
      <c r="Q46" s="69">
        <f>Q5+Q6</f>
        <v>4</v>
      </c>
      <c r="R46" s="110"/>
      <c r="S46" s="68" t="s">
        <v>24</v>
      </c>
      <c r="T46" s="70">
        <f t="shared" ref="T46" si="22">U46</f>
        <v>0</v>
      </c>
      <c r="U46" s="69">
        <f>U5+U6</f>
        <v>0</v>
      </c>
      <c r="V46" s="110"/>
    </row>
    <row r="47" spans="2:22">
      <c r="B47" s="164"/>
      <c r="C47" s="71" t="s">
        <v>25</v>
      </c>
      <c r="D47" s="44">
        <f t="shared" ref="D46:D50" si="23">E47</f>
        <v>0</v>
      </c>
      <c r="E47" s="69">
        <v>0</v>
      </c>
      <c r="F47" s="110"/>
      <c r="G47" s="71" t="s">
        <v>25</v>
      </c>
      <c r="H47" s="44">
        <f t="shared" ref="H47:H49" si="24">I47</f>
        <v>0</v>
      </c>
      <c r="I47" s="69"/>
      <c r="J47" s="110"/>
      <c r="K47" s="71" t="s">
        <v>25</v>
      </c>
      <c r="L47" s="44">
        <f t="shared" ref="L46:L50" si="25">M47</f>
        <v>0</v>
      </c>
      <c r="M47" s="69"/>
      <c r="N47" s="110"/>
      <c r="O47" s="71" t="s">
        <v>25</v>
      </c>
      <c r="P47" s="70">
        <v>1</v>
      </c>
      <c r="Q47" s="69"/>
      <c r="R47" s="110"/>
      <c r="S47" s="71" t="s">
        <v>25</v>
      </c>
      <c r="T47" s="70">
        <f>U47</f>
        <v>0</v>
      </c>
      <c r="U47" s="69"/>
      <c r="V47" s="110"/>
    </row>
    <row r="48" spans="2:22">
      <c r="B48" s="164"/>
      <c r="C48" s="71" t="s">
        <v>4</v>
      </c>
      <c r="D48" s="44">
        <f t="shared" si="23"/>
        <v>2.254437229437229</v>
      </c>
      <c r="E48" s="69">
        <f>E14+E24+E25+E26+E39</f>
        <v>2.254437229437229</v>
      </c>
      <c r="F48" s="110"/>
      <c r="G48" s="71" t="s">
        <v>4</v>
      </c>
      <c r="H48" s="44">
        <f t="shared" si="24"/>
        <v>2.1749999999999998</v>
      </c>
      <c r="I48" s="44">
        <f>I38+I13+I27+I14</f>
        <v>2.1749999999999998</v>
      </c>
      <c r="J48" s="110"/>
      <c r="K48" s="71" t="s">
        <v>4</v>
      </c>
      <c r="L48" s="44">
        <f t="shared" si="25"/>
        <v>1.6032142857142857</v>
      </c>
      <c r="M48" s="69">
        <f>M37+M11+M7+M14+M38+M43</f>
        <v>1.6032142857142857</v>
      </c>
      <c r="N48" s="110"/>
      <c r="O48" s="71" t="s">
        <v>4</v>
      </c>
      <c r="P48" s="70">
        <f>Q48</f>
        <v>2.5857142857142859</v>
      </c>
      <c r="Q48" s="69">
        <f>Q14+Q23+Q39</f>
        <v>2.5857142857142859</v>
      </c>
      <c r="R48" s="110"/>
      <c r="S48" s="71" t="s">
        <v>4</v>
      </c>
      <c r="T48" s="70">
        <f>U48</f>
        <v>0</v>
      </c>
      <c r="U48" s="69">
        <f>U41+U25+U14</f>
        <v>0</v>
      </c>
      <c r="V48" s="110"/>
    </row>
    <row r="49" spans="2:22">
      <c r="B49" s="164"/>
      <c r="C49" s="71" t="s">
        <v>5</v>
      </c>
      <c r="D49" s="44">
        <f t="shared" si="23"/>
        <v>1.4200000000000002</v>
      </c>
      <c r="E49" s="69">
        <f>E41+E40+E38+E34+E33+E32+E27+E23+E18+E17+E16</f>
        <v>1.4200000000000002</v>
      </c>
      <c r="F49" s="110"/>
      <c r="G49" s="71" t="s">
        <v>5</v>
      </c>
      <c r="H49" s="44">
        <f t="shared" si="24"/>
        <v>1.8900000000000001</v>
      </c>
      <c r="I49" s="69">
        <f>I39+I41+I40+I34+I33+I32+I23+I25+I15+I16+I17+I24</f>
        <v>1.8900000000000001</v>
      </c>
      <c r="J49" s="110"/>
      <c r="K49" s="71" t="s">
        <v>5</v>
      </c>
      <c r="L49" s="44">
        <f t="shared" si="25"/>
        <v>1.4796666666666667</v>
      </c>
      <c r="M49" s="69">
        <f>M42+M41+M39+M34+M33+M32+M23+M25+M26</f>
        <v>1.4796666666666667</v>
      </c>
      <c r="N49" s="110"/>
      <c r="O49" s="71" t="s">
        <v>5</v>
      </c>
      <c r="P49" s="70">
        <v>1.7</v>
      </c>
      <c r="Q49" s="69">
        <f>Q40+Q38+Q34+Q33+Q32+Q25+Q24</f>
        <v>0.99</v>
      </c>
      <c r="R49" s="110"/>
      <c r="S49" s="71" t="s">
        <v>5</v>
      </c>
      <c r="T49" s="70">
        <f>U49</f>
        <v>0</v>
      </c>
      <c r="U49" s="69">
        <f>U42+U38+U40+U39+U34+U33+U32+U26+U24+U23</f>
        <v>0</v>
      </c>
      <c r="V49" s="110"/>
    </row>
    <row r="50" spans="2:22">
      <c r="B50" s="164"/>
      <c r="C50" s="71" t="s">
        <v>6</v>
      </c>
      <c r="D50" s="44">
        <f t="shared" si="23"/>
        <v>0</v>
      </c>
      <c r="E50" s="69"/>
      <c r="F50" s="110"/>
      <c r="G50" s="71" t="s">
        <v>6</v>
      </c>
      <c r="H50" s="44">
        <v>1</v>
      </c>
      <c r="I50" s="69"/>
      <c r="J50" s="110"/>
      <c r="K50" s="71" t="s">
        <v>6</v>
      </c>
      <c r="L50" s="44">
        <f t="shared" si="25"/>
        <v>0</v>
      </c>
      <c r="M50" s="69"/>
      <c r="N50" s="110"/>
      <c r="O50" s="71" t="s">
        <v>6</v>
      </c>
      <c r="P50" s="70">
        <f>Q50</f>
        <v>0</v>
      </c>
      <c r="Q50" s="69"/>
      <c r="R50" s="110"/>
      <c r="S50" s="71" t="s">
        <v>6</v>
      </c>
      <c r="T50" s="70">
        <f>U50</f>
        <v>0</v>
      </c>
      <c r="U50" s="69"/>
      <c r="V50" s="110"/>
    </row>
    <row r="51" spans="2:22" ht="18.75" customHeight="1">
      <c r="B51" s="164"/>
      <c r="C51" s="153" t="s">
        <v>7</v>
      </c>
      <c r="D51" s="44">
        <f>E51</f>
        <v>2.5</v>
      </c>
      <c r="E51" s="69">
        <v>2.5</v>
      </c>
      <c r="F51" s="104"/>
      <c r="G51" s="153" t="s">
        <v>7</v>
      </c>
      <c r="H51" s="44">
        <f>I51</f>
        <v>2.5</v>
      </c>
      <c r="I51" s="69">
        <v>2.5</v>
      </c>
      <c r="J51" s="104"/>
      <c r="K51" s="153" t="s">
        <v>7</v>
      </c>
      <c r="L51" s="44">
        <f>M51</f>
        <v>2.5</v>
      </c>
      <c r="M51" s="69">
        <v>2.5</v>
      </c>
      <c r="N51" s="110"/>
      <c r="O51" s="153" t="s">
        <v>7</v>
      </c>
      <c r="P51" s="70">
        <f>Q51</f>
        <v>2.5</v>
      </c>
      <c r="Q51" s="69">
        <v>2.5</v>
      </c>
      <c r="R51" s="110"/>
      <c r="S51" s="153" t="s">
        <v>7</v>
      </c>
      <c r="T51" s="70">
        <v>0</v>
      </c>
      <c r="U51" s="69">
        <v>2.5</v>
      </c>
      <c r="V51" s="110"/>
    </row>
    <row r="52" spans="2:22">
      <c r="B52" s="164"/>
      <c r="C52" s="153"/>
      <c r="D52" s="44"/>
      <c r="E52" s="69">
        <v>0</v>
      </c>
      <c r="F52" s="104"/>
      <c r="G52" s="153"/>
      <c r="H52" s="44"/>
      <c r="I52" s="69">
        <v>0</v>
      </c>
      <c r="J52" s="104"/>
      <c r="K52" s="153"/>
      <c r="L52" s="44"/>
      <c r="M52" s="69">
        <v>0</v>
      </c>
      <c r="N52" s="110"/>
      <c r="O52" s="153"/>
      <c r="P52" s="70"/>
      <c r="Q52" s="69">
        <v>0</v>
      </c>
      <c r="R52" s="110"/>
      <c r="S52" s="153"/>
      <c r="T52" s="70"/>
      <c r="U52" s="69">
        <v>0</v>
      </c>
      <c r="V52" s="110"/>
    </row>
    <row r="53" spans="2:22">
      <c r="B53" s="165"/>
      <c r="C53" s="72" t="s">
        <v>8</v>
      </c>
      <c r="D53" s="73">
        <f t="shared" ref="D53" si="26">D46*70+D47*120+D48*75+D49*25+D50*60+D51*45</f>
        <v>632.08279220779218</v>
      </c>
      <c r="E53" s="74"/>
      <c r="F53" s="111"/>
      <c r="G53" s="72" t="s">
        <v>8</v>
      </c>
      <c r="H53" s="73">
        <f>H46*70+H47*120+H48*75+H49*25+H50*60+H51*45</f>
        <v>681.54166666666674</v>
      </c>
      <c r="I53" s="74"/>
      <c r="J53" s="111"/>
      <c r="K53" s="72" t="s">
        <v>8</v>
      </c>
      <c r="L53" s="73">
        <f t="shared" ref="L53" si="27">L46*70+L47*120+L48*75+L49*25+L50*60+L51*45</f>
        <v>563.73273809523812</v>
      </c>
      <c r="M53" s="74"/>
      <c r="N53" s="111"/>
      <c r="O53" s="72" t="s">
        <v>8</v>
      </c>
      <c r="P53" s="75">
        <f t="shared" ref="P53" si="28">P46*70+P47*120+P48*75+P49*25+P50*60+P51*45</f>
        <v>748.92857142857144</v>
      </c>
      <c r="Q53" s="74"/>
      <c r="R53" s="111"/>
      <c r="S53" s="72" t="s">
        <v>8</v>
      </c>
      <c r="T53" s="75">
        <v>0</v>
      </c>
      <c r="U53" s="74"/>
      <c r="V53" s="111"/>
    </row>
    <row r="54" spans="2:22">
      <c r="B54" s="76"/>
    </row>
    <row r="55" spans="2:22">
      <c r="B55" s="76"/>
    </row>
    <row r="56" spans="2:22">
      <c r="B56" s="76"/>
    </row>
  </sheetData>
  <mergeCells count="48">
    <mergeCell ref="O3:P3"/>
    <mergeCell ref="B1:T1"/>
    <mergeCell ref="S13:T13"/>
    <mergeCell ref="S3:T3"/>
    <mergeCell ref="B4:B12"/>
    <mergeCell ref="C4:D4"/>
    <mergeCell ref="G4:H4"/>
    <mergeCell ref="K4:L4"/>
    <mergeCell ref="O4:P4"/>
    <mergeCell ref="S4:T4"/>
    <mergeCell ref="B13:B21"/>
    <mergeCell ref="C13:D13"/>
    <mergeCell ref="G13:H13"/>
    <mergeCell ref="K13:L13"/>
    <mergeCell ref="O13:P13"/>
    <mergeCell ref="G2:H2"/>
    <mergeCell ref="C3:D3"/>
    <mergeCell ref="S31:T31"/>
    <mergeCell ref="B22:B30"/>
    <mergeCell ref="C22:D22"/>
    <mergeCell ref="G22:H22"/>
    <mergeCell ref="K22:L22"/>
    <mergeCell ref="O22:P22"/>
    <mergeCell ref="S22:T22"/>
    <mergeCell ref="B31:B36"/>
    <mergeCell ref="C31:D31"/>
    <mergeCell ref="G31:H31"/>
    <mergeCell ref="K31:L31"/>
    <mergeCell ref="O31:P31"/>
    <mergeCell ref="G3:H3"/>
    <mergeCell ref="K3:L3"/>
    <mergeCell ref="B37:B44"/>
    <mergeCell ref="G37:H37"/>
    <mergeCell ref="K37:L37"/>
    <mergeCell ref="C37:D37"/>
    <mergeCell ref="S37:T37"/>
    <mergeCell ref="B46:B53"/>
    <mergeCell ref="C51:C52"/>
    <mergeCell ref="G51:G52"/>
    <mergeCell ref="K51:K52"/>
    <mergeCell ref="O51:O52"/>
    <mergeCell ref="S51:S52"/>
    <mergeCell ref="O37:P37"/>
    <mergeCell ref="C45:D45"/>
    <mergeCell ref="G45:H45"/>
    <mergeCell ref="K45:L45"/>
    <mergeCell ref="O45:P45"/>
    <mergeCell ref="S45:T45"/>
  </mergeCells>
  <phoneticPr fontId="2" type="noConversion"/>
  <printOptions horizontalCentered="1" verticalCentered="1"/>
  <pageMargins left="0" right="0" top="0" bottom="0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2</vt:i4>
      </vt:variant>
    </vt:vector>
  </HeadingPairs>
  <TitlesOfParts>
    <vt:vector size="8" baseType="lpstr">
      <vt:lpstr>月菜單(葷) </vt:lpstr>
      <vt:lpstr>1101</vt:lpstr>
      <vt:lpstr>1106</vt:lpstr>
      <vt:lpstr>1113</vt:lpstr>
      <vt:lpstr>1120</vt:lpstr>
      <vt:lpstr>1127</vt:lpstr>
      <vt:lpstr>'1101'!Print_Area</vt:lpstr>
      <vt:lpstr>'月菜單(葷) '!Print_Area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CYC</cp:lastModifiedBy>
  <cp:lastPrinted>2017-10-25T08:22:36Z</cp:lastPrinted>
  <dcterms:created xsi:type="dcterms:W3CDTF">2015-08-11T06:07:31Z</dcterms:created>
  <dcterms:modified xsi:type="dcterms:W3CDTF">2017-10-26T14:48:20Z</dcterms:modified>
</cp:coreProperties>
</file>